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56" yWindow="65456" windowWidth="27800" windowHeight="10460" activeTab="0"/>
  </bookViews>
  <sheets>
    <sheet name="HDR" sheetId="1" r:id="rId1"/>
    <sheet name="LDR-MDR" sheetId="2" r:id="rId2"/>
    <sheet name="PDR" sheetId="3" r:id="rId3"/>
  </sheets>
  <definedNames/>
  <calcPr fullCalcOnLoad="1"/>
</workbook>
</file>

<file path=xl/sharedStrings.xml><?xml version="1.0" encoding="utf-8"?>
<sst xmlns="http://schemas.openxmlformats.org/spreadsheetml/2006/main" count="272" uniqueCount="107">
  <si>
    <r>
      <t>dose D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x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[Gy]</t>
    </r>
  </si>
  <si>
    <r>
      <t>ref isodose d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[Gy]</t>
    </r>
  </si>
  <si>
    <r>
      <t>ref isodose d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[Gy]</t>
    </r>
  </si>
  <si>
    <r>
      <t>ref isodose d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x N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 [Gy]</t>
    </r>
  </si>
  <si>
    <r>
      <t>ref isodose d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x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 [Gy]</t>
    </r>
  </si>
  <si>
    <t>dose / pulse  PDR</t>
  </si>
  <si>
    <t>Department of Radiotherapy and Radiobiology,  Medical University of Vienna</t>
  </si>
  <si>
    <r>
      <t>EQD</t>
    </r>
    <r>
      <rPr>
        <vertAlign val="subscript"/>
        <sz val="10"/>
        <rFont val="Arial"/>
        <family val="2"/>
      </rPr>
      <t>2</t>
    </r>
  </si>
  <si>
    <r>
      <t>EQD</t>
    </r>
    <r>
      <rPr>
        <b/>
        <vertAlign val="subscript"/>
        <sz val="12"/>
        <rFont val="Arial"/>
        <family val="2"/>
      </rPr>
      <t>2,ref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[Gy]</t>
    </r>
  </si>
  <si>
    <r>
      <t>EQD</t>
    </r>
    <r>
      <rPr>
        <vertAlign val="subscript"/>
        <sz val="10"/>
        <color indexed="8"/>
        <rFont val="Arial"/>
        <family val="2"/>
      </rPr>
      <t>2</t>
    </r>
  </si>
  <si>
    <r>
      <t>EQD</t>
    </r>
    <r>
      <rPr>
        <b/>
        <vertAlign val="subscript"/>
        <sz val="12"/>
        <color indexed="8"/>
        <rFont val="Arial"/>
        <family val="2"/>
      </rPr>
      <t>2,ref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[Gy]</t>
    </r>
  </si>
  <si>
    <r>
      <t>EQD</t>
    </r>
    <r>
      <rPr>
        <b/>
        <vertAlign val="subscript"/>
        <sz val="12"/>
        <color indexed="8"/>
        <rFont val="Arial"/>
        <family val="2"/>
      </rPr>
      <t>2,ref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[Gy]</t>
    </r>
  </si>
  <si>
    <r>
      <t xml:space="preserve">a/b </t>
    </r>
    <r>
      <rPr>
        <b/>
        <sz val="12"/>
        <rFont val="Arial"/>
        <family val="2"/>
      </rPr>
      <t>[Gy]</t>
    </r>
  </si>
  <si>
    <t>EBT 1</t>
  </si>
  <si>
    <t>BED</t>
  </si>
  <si>
    <t>EBT 2</t>
  </si>
  <si>
    <t>TOTAL  EBT</t>
  </si>
  <si>
    <r>
      <t>[Gy</t>
    </r>
    <r>
      <rPr>
        <vertAlign val="subscript"/>
        <sz val="10"/>
        <rFont val="Symbol"/>
        <family val="1"/>
      </rPr>
      <t>a/b</t>
    </r>
    <r>
      <rPr>
        <sz val="10"/>
        <rFont val="Arial"/>
        <family val="0"/>
      </rPr>
      <t>]</t>
    </r>
  </si>
  <si>
    <t>[Gy]</t>
  </si>
  <si>
    <t>number of fractions n</t>
  </si>
  <si>
    <t>dose / fraction d [Gy]</t>
  </si>
  <si>
    <t>TOTAL</t>
  </si>
  <si>
    <t>EBT 1+2</t>
  </si>
  <si>
    <t>HDR</t>
  </si>
  <si>
    <t>D</t>
  </si>
  <si>
    <r>
      <t>dose fraction 1  D</t>
    </r>
    <r>
      <rPr>
        <vertAlign val="subscript"/>
        <sz val="10"/>
        <rFont val="Arial"/>
        <family val="2"/>
      </rPr>
      <t>1</t>
    </r>
  </si>
  <si>
    <r>
      <t>dose fraction 2  D</t>
    </r>
    <r>
      <rPr>
        <vertAlign val="subscript"/>
        <sz val="10"/>
        <rFont val="Arial"/>
        <family val="2"/>
      </rPr>
      <t>2</t>
    </r>
  </si>
  <si>
    <r>
      <t>dose fraction 3  D</t>
    </r>
    <r>
      <rPr>
        <vertAlign val="subscript"/>
        <sz val="10"/>
        <rFont val="Arial"/>
        <family val="2"/>
      </rPr>
      <t>3</t>
    </r>
  </si>
  <si>
    <t>TOTAL  EBT + HDR</t>
  </si>
  <si>
    <r>
      <t>dose fraction 4  D</t>
    </r>
    <r>
      <rPr>
        <vertAlign val="subscript"/>
        <sz val="10"/>
        <rFont val="Arial"/>
        <family val="2"/>
      </rPr>
      <t>4</t>
    </r>
  </si>
  <si>
    <r>
      <t>dose fraction 5  D</t>
    </r>
    <r>
      <rPr>
        <vertAlign val="subscript"/>
        <sz val="10"/>
        <rFont val="Arial"/>
        <family val="2"/>
      </rPr>
      <t>5</t>
    </r>
  </si>
  <si>
    <r>
      <t>dose fraction 6  D</t>
    </r>
    <r>
      <rPr>
        <vertAlign val="subscript"/>
        <sz val="10"/>
        <rFont val="Arial"/>
        <family val="2"/>
      </rPr>
      <t>6</t>
    </r>
  </si>
  <si>
    <t>EBT + HDR</t>
  </si>
  <si>
    <t>Gy ref volume</t>
  </si>
  <si>
    <t>difference dose</t>
  </si>
  <si>
    <r>
      <t>BED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0"/>
      </rPr>
      <t xml:space="preserve"> [Gy</t>
    </r>
    <r>
      <rPr>
        <vertAlign val="subscript"/>
        <sz val="10"/>
        <rFont val="Symbol"/>
        <family val="1"/>
      </rPr>
      <t>a/b</t>
    </r>
    <r>
      <rPr>
        <sz val="10"/>
        <rFont val="Arial"/>
        <family val="0"/>
      </rPr>
      <t>]</t>
    </r>
  </si>
  <si>
    <t>p [1]</t>
  </si>
  <si>
    <t>q [1]</t>
  </si>
  <si>
    <r>
      <t>ref isodose 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[Gy]</t>
    </r>
  </si>
  <si>
    <t>reference dose</t>
  </si>
  <si>
    <r>
      <t>ref isodose 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[Gy]</t>
    </r>
  </si>
  <si>
    <t>number of fractions left</t>
  </si>
  <si>
    <r>
      <t>ref isodose 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[Gy]</t>
    </r>
  </si>
  <si>
    <t>dose / fraction  HDR</t>
  </si>
  <si>
    <r>
      <t>ref isodose d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[Gy]</t>
    </r>
  </si>
  <si>
    <r>
      <t>ref isodose d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[Gy]</t>
    </r>
  </si>
  <si>
    <r>
      <t>ref isodose d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[Gy]</t>
    </r>
  </si>
  <si>
    <t>LDR 1</t>
  </si>
  <si>
    <t>LDR 2</t>
  </si>
  <si>
    <t>TOTAL  LDR</t>
  </si>
  <si>
    <t>dose rate [Gy/h]</t>
  </si>
  <si>
    <t>LDR 1-4</t>
  </si>
  <si>
    <t>LDR 3</t>
  </si>
  <si>
    <t>LDR 4</t>
  </si>
  <si>
    <t>TOTAL  EBT + LDR</t>
  </si>
  <si>
    <t>EBT + LDR</t>
  </si>
  <si>
    <t>Gy ref vol</t>
  </si>
  <si>
    <t>PDR 1</t>
  </si>
  <si>
    <t>PDR 2</t>
  </si>
  <si>
    <t>TOTAL  PDR</t>
  </si>
  <si>
    <t>pulse interval [h]</t>
  </si>
  <si>
    <t>PDR 1+2</t>
  </si>
  <si>
    <t>TOTAL  EBT + PDR</t>
  </si>
  <si>
    <t>EBT + PDR</t>
  </si>
  <si>
    <r>
      <t>G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 xml:space="preserve"> [1]</t>
    </r>
  </si>
  <si>
    <r>
      <t>G</t>
    </r>
    <r>
      <rPr>
        <vertAlign val="sub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 xml:space="preserve"> [1]</t>
    </r>
  </si>
  <si>
    <r>
      <t>G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[1]</t>
    </r>
  </si>
  <si>
    <r>
      <t>G</t>
    </r>
    <r>
      <rPr>
        <vertAlign val="subscript"/>
        <sz val="10"/>
        <color indexed="9"/>
        <rFont val="Arial"/>
        <family val="2"/>
      </rPr>
      <t>4</t>
    </r>
    <r>
      <rPr>
        <sz val="10"/>
        <color indexed="9"/>
        <rFont val="Arial"/>
        <family val="2"/>
      </rPr>
      <t xml:space="preserve"> [1]</t>
    </r>
  </si>
  <si>
    <r>
      <t>x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 xml:space="preserve"> [h]</t>
    </r>
  </si>
  <si>
    <r>
      <t>Y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 xml:space="preserve"> [1]</t>
    </r>
  </si>
  <si>
    <r>
      <t>K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 xml:space="preserve"> [1]</t>
    </r>
  </si>
  <si>
    <r>
      <t>S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 xml:space="preserve"> [1]</t>
    </r>
  </si>
  <si>
    <r>
      <t>x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[h]</t>
    </r>
  </si>
  <si>
    <r>
      <t>Y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[1]</t>
    </r>
  </si>
  <si>
    <r>
      <t>K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[1]</t>
    </r>
  </si>
  <si>
    <r>
      <t>S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[1]</t>
    </r>
  </si>
  <si>
    <r>
      <t xml:space="preserve">a/b </t>
    </r>
    <r>
      <rPr>
        <b/>
        <sz val="12"/>
        <color indexed="8"/>
        <rFont val="Arial"/>
        <family val="2"/>
      </rPr>
      <t>[Gy]</t>
    </r>
  </si>
  <si>
    <r>
      <t>T</t>
    </r>
    <r>
      <rPr>
        <b/>
        <vertAlign val="subscript"/>
        <sz val="12"/>
        <color indexed="8"/>
        <rFont val="Arial"/>
        <family val="2"/>
      </rPr>
      <t>1/2</t>
    </r>
    <r>
      <rPr>
        <b/>
        <sz val="12"/>
        <color indexed="8"/>
        <rFont val="Arial"/>
        <family val="2"/>
      </rPr>
      <t xml:space="preserve"> [h]</t>
    </r>
  </si>
  <si>
    <r>
      <t>m</t>
    </r>
    <r>
      <rPr>
        <b/>
        <sz val="12"/>
        <color indexed="8"/>
        <rFont val="Arial"/>
        <family val="2"/>
      </rPr>
      <t xml:space="preserve"> [1/h]</t>
    </r>
  </si>
  <si>
    <r>
      <t>[Gy</t>
    </r>
    <r>
      <rPr>
        <vertAlign val="subscript"/>
        <sz val="10"/>
        <color indexed="8"/>
        <rFont val="Symbol"/>
        <family val="1"/>
      </rPr>
      <t>a/b</t>
    </r>
    <r>
      <rPr>
        <sz val="10"/>
        <color indexed="8"/>
        <rFont val="Arial"/>
        <family val="0"/>
      </rPr>
      <t>]</t>
    </r>
  </si>
  <si>
    <r>
      <t>dose D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[Gy]</t>
    </r>
  </si>
  <si>
    <r>
      <t>dose D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[Gy]</t>
    </r>
  </si>
  <si>
    <r>
      <t>fraction time t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[h]</t>
    </r>
  </si>
  <si>
    <r>
      <t>fraction time t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[h]</t>
    </r>
  </si>
  <si>
    <r>
      <t>dose D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 xml:space="preserve"> [Gy]</t>
    </r>
  </si>
  <si>
    <r>
      <t>dose D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0"/>
      </rPr>
      <t xml:space="preserve"> [Gy]</t>
    </r>
  </si>
  <si>
    <r>
      <t>fraction time t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 xml:space="preserve"> [h]</t>
    </r>
  </si>
  <si>
    <r>
      <t>fraction time t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0"/>
      </rPr>
      <t xml:space="preserve"> [h]</t>
    </r>
  </si>
  <si>
    <r>
      <t>ref dose rate R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[Gy/h]</t>
    </r>
  </si>
  <si>
    <r>
      <t>ref dose rate R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[Gy/h]</t>
    </r>
  </si>
  <si>
    <r>
      <t>BED</t>
    </r>
    <r>
      <rPr>
        <vertAlign val="subscript"/>
        <sz val="10"/>
        <color indexed="8"/>
        <rFont val="Arial"/>
        <family val="2"/>
      </rPr>
      <t xml:space="preserve">ref </t>
    </r>
    <r>
      <rPr>
        <sz val="10"/>
        <color indexed="8"/>
        <rFont val="Arial"/>
        <family val="0"/>
      </rPr>
      <t>[Gy</t>
    </r>
    <r>
      <rPr>
        <vertAlign val="subscript"/>
        <sz val="10"/>
        <color indexed="8"/>
        <rFont val="Symbol"/>
        <family val="1"/>
      </rPr>
      <t>a/b</t>
    </r>
    <r>
      <rPr>
        <sz val="10"/>
        <color indexed="8"/>
        <rFont val="Arial"/>
        <family val="0"/>
      </rPr>
      <t>]</t>
    </r>
  </si>
  <si>
    <r>
      <t>ref isodose d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[Gy]</t>
    </r>
  </si>
  <si>
    <r>
      <t>ref isodose d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[Gy]</t>
    </r>
  </si>
  <si>
    <r>
      <t>ref dose rate R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 xml:space="preserve"> [Gy/h]</t>
    </r>
  </si>
  <si>
    <r>
      <t>ref dose rate R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0"/>
      </rPr>
      <t xml:space="preserve"> [Gy/h]</t>
    </r>
  </si>
  <si>
    <r>
      <t>ref isodose d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 xml:space="preserve"> [Gy]</t>
    </r>
  </si>
  <si>
    <r>
      <t>ref isodose d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0"/>
      </rPr>
      <t xml:space="preserve"> [Gy]</t>
    </r>
  </si>
  <si>
    <t>sum 1</t>
  </si>
  <si>
    <t>sum 2</t>
  </si>
  <si>
    <t>sum 3</t>
  </si>
  <si>
    <t>sum 4</t>
  </si>
  <si>
    <t>dose / fraction  LDR</t>
  </si>
  <si>
    <r>
      <t>number of pulses N</t>
    </r>
    <r>
      <rPr>
        <vertAlign val="subscript"/>
        <sz val="10"/>
        <color indexed="8"/>
        <rFont val="Arial"/>
        <family val="2"/>
      </rPr>
      <t>1</t>
    </r>
  </si>
  <si>
    <r>
      <t>number of pulses N</t>
    </r>
    <r>
      <rPr>
        <vertAlign val="subscript"/>
        <sz val="10"/>
        <color indexed="8"/>
        <rFont val="Arial"/>
        <family val="2"/>
      </rPr>
      <t>2</t>
    </r>
  </si>
  <si>
    <r>
      <t>pulse time t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[h]</t>
    </r>
  </si>
  <si>
    <r>
      <t>pulse time t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[h]</t>
    </r>
  </si>
  <si>
    <r>
      <t>dose D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x N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 xml:space="preserve"> [Gy]</t>
    </r>
  </si>
</sst>
</file>

<file path=xl/styles.xml><?xml version="1.0" encoding="utf-8"?>
<styleSheet xmlns="http://schemas.openxmlformats.org/spreadsheetml/2006/main">
  <numFmts count="4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öS&quot;\ #,##0;\-&quot;öS&quot;\ #,##0"/>
    <numFmt numFmtId="195" formatCode="&quot;öS&quot;\ #,##0;[Red]\-&quot;öS&quot;\ #,##0"/>
    <numFmt numFmtId="196" formatCode="&quot;öS&quot;\ #,##0.00;\-&quot;öS&quot;\ #,##0.00"/>
    <numFmt numFmtId="197" formatCode="&quot;öS&quot;\ #,##0.00;[Red]\-&quot;öS&quot;\ #,##0.00"/>
    <numFmt numFmtId="198" formatCode="_-&quot;öS&quot;\ * #,##0_-;\-&quot;öS&quot;\ * #,##0_-;_-&quot;öS&quot;\ * &quot;-&quot;_-;_-@_-"/>
    <numFmt numFmtId="199" formatCode="_-&quot;öS&quot;\ * #,##0.00_-;\-&quot;öS&quot;\ * #,##0.00_-;_-&quot;öS&quot;\ * &quot;-&quot;??_-;_-@_-"/>
    <numFmt numFmtId="200" formatCode="0.0"/>
    <numFmt numFmtId="201" formatCode="0.000"/>
    <numFmt numFmtId="202" formatCode="0.0000"/>
  </numFmts>
  <fonts count="34">
    <font>
      <sz val="10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b/>
      <sz val="10"/>
      <name val="Arial"/>
      <family val="2"/>
    </font>
    <font>
      <b/>
      <vertAlign val="subscript"/>
      <sz val="12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b/>
      <vertAlign val="subscript"/>
      <sz val="12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Symbol"/>
      <family val="1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7" borderId="2" applyNumberFormat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left"/>
      <protection/>
    </xf>
    <xf numFmtId="0" fontId="5" fillId="24" borderId="10" xfId="0" applyNumberFormat="1" applyFont="1" applyFill="1" applyBorder="1" applyAlignment="1" applyProtection="1">
      <alignment horizontal="center"/>
      <protection locked="0"/>
    </xf>
    <xf numFmtId="200" fontId="0" fillId="0" borderId="0" xfId="0" applyNumberFormat="1" applyFont="1" applyBorder="1" applyAlignment="1" applyProtection="1">
      <alignment horizontal="center"/>
      <protection/>
    </xf>
    <xf numFmtId="200" fontId="0" fillId="0" borderId="15" xfId="0" applyNumberFormat="1" applyFont="1" applyBorder="1" applyAlignment="1" applyProtection="1">
      <alignment horizont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200" fontId="0" fillId="0" borderId="17" xfId="0" applyNumberFormat="1" applyFont="1" applyBorder="1" applyAlignment="1" applyProtection="1">
      <alignment horizontal="center"/>
      <protection/>
    </xf>
    <xf numFmtId="200" fontId="5" fillId="0" borderId="18" xfId="0" applyNumberFormat="1" applyFont="1" applyBorder="1" applyAlignment="1" applyProtection="1">
      <alignment horizontal="center"/>
      <protection/>
    </xf>
    <xf numFmtId="200" fontId="5" fillId="0" borderId="15" xfId="0" applyNumberFormat="1" applyFont="1" applyBorder="1" applyAlignment="1" applyProtection="1">
      <alignment horizontal="center"/>
      <protection/>
    </xf>
    <xf numFmtId="200" fontId="0" fillId="0" borderId="17" xfId="0" applyNumberFormat="1" applyFont="1" applyFill="1" applyBorder="1" applyAlignment="1" applyProtection="1">
      <alignment horizontal="center"/>
      <protection/>
    </xf>
    <xf numFmtId="0" fontId="5" fillId="24" borderId="19" xfId="0" applyNumberFormat="1" applyFont="1" applyFill="1" applyBorder="1" applyAlignment="1" applyProtection="1">
      <alignment horizontal="center"/>
      <protection locked="0"/>
    </xf>
    <xf numFmtId="0" fontId="5" fillId="24" borderId="20" xfId="0" applyNumberFormat="1" applyFont="1" applyFill="1" applyBorder="1" applyAlignment="1" applyProtection="1">
      <alignment horizontal="left"/>
      <protection/>
    </xf>
    <xf numFmtId="0" fontId="0" fillId="24" borderId="21" xfId="0" applyNumberFormat="1" applyFont="1" applyFill="1" applyBorder="1" applyAlignment="1" applyProtection="1">
      <alignment horizontal="left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left"/>
      <protection/>
    </xf>
    <xf numFmtId="0" fontId="1" fillId="0" borderId="14" xfId="0" applyNumberFormat="1" applyFont="1" applyBorder="1" applyAlignment="1" applyProtection="1">
      <alignment horizontal="left"/>
      <protection/>
    </xf>
    <xf numFmtId="9" fontId="0" fillId="0" borderId="0" xfId="51" applyNumberFormat="1" applyFont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left"/>
      <protection/>
    </xf>
    <xf numFmtId="0" fontId="5" fillId="0" borderId="16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9" fontId="0" fillId="0" borderId="17" xfId="51" applyNumberFormat="1" applyFont="1" applyBorder="1" applyAlignment="1" applyProtection="1">
      <alignment horizontal="right"/>
      <protection/>
    </xf>
    <xf numFmtId="2" fontId="0" fillId="0" borderId="17" xfId="0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0" borderId="17" xfId="0" applyNumberFormat="1" applyFont="1" applyBorder="1" applyAlignment="1" applyProtection="1">
      <alignment horizontal="center"/>
      <protection/>
    </xf>
    <xf numFmtId="0" fontId="7" fillId="0" borderId="18" xfId="0" applyNumberFormat="1" applyFont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center"/>
      <protection/>
    </xf>
    <xf numFmtId="2" fontId="5" fillId="0" borderId="17" xfId="0" applyNumberFormat="1" applyFont="1" applyBorder="1" applyAlignment="1" applyProtection="1">
      <alignment horizontal="center"/>
      <protection/>
    </xf>
    <xf numFmtId="2" fontId="5" fillId="0" borderId="18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 horizontal="left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10" fillId="24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18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13" xfId="0" applyNumberFormat="1" applyFont="1" applyBorder="1" applyAlignment="1" applyProtection="1">
      <alignment horizontal="center"/>
      <protection/>
    </xf>
    <xf numFmtId="0" fontId="14" fillId="0" borderId="14" xfId="0" applyNumberFormat="1" applyFont="1" applyBorder="1" applyAlignment="1" applyProtection="1">
      <alignment horizontal="center"/>
      <protection/>
    </xf>
    <xf numFmtId="0" fontId="9" fillId="0" borderId="15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left"/>
      <protection/>
    </xf>
    <xf numFmtId="0" fontId="14" fillId="24" borderId="10" xfId="0" applyNumberFormat="1" applyFont="1" applyFill="1" applyBorder="1" applyAlignment="1" applyProtection="1">
      <alignment horizontal="center"/>
      <protection locked="0"/>
    </xf>
    <xf numFmtId="200" fontId="9" fillId="0" borderId="14" xfId="0" applyNumberFormat="1" applyFont="1" applyBorder="1" applyAlignment="1" applyProtection="1">
      <alignment horizontal="center"/>
      <protection/>
    </xf>
    <xf numFmtId="200" fontId="9" fillId="0" borderId="15" xfId="0" applyNumberFormat="1" applyFont="1" applyBorder="1" applyAlignment="1" applyProtection="1">
      <alignment horizontal="center"/>
      <protection/>
    </xf>
    <xf numFmtId="200" fontId="9" fillId="0" borderId="0" xfId="0" applyNumberFormat="1" applyFont="1" applyBorder="1" applyAlignment="1" applyProtection="1">
      <alignment horizontal="center"/>
      <protection/>
    </xf>
    <xf numFmtId="0" fontId="14" fillId="0" borderId="16" xfId="0" applyNumberFormat="1" applyFont="1" applyBorder="1" applyAlignment="1" applyProtection="1">
      <alignment horizontal="center"/>
      <protection/>
    </xf>
    <xf numFmtId="200" fontId="9" fillId="0" borderId="17" xfId="0" applyNumberFormat="1" applyFont="1" applyBorder="1" applyAlignment="1" applyProtection="1">
      <alignment horizontal="center"/>
      <protection/>
    </xf>
    <xf numFmtId="200" fontId="14" fillId="0" borderId="18" xfId="0" applyNumberFormat="1" applyFont="1" applyBorder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center"/>
      <protection/>
    </xf>
    <xf numFmtId="200" fontId="14" fillId="0" borderId="15" xfId="0" applyNumberFormat="1" applyFont="1" applyBorder="1" applyAlignment="1" applyProtection="1">
      <alignment horizontal="center"/>
      <protection/>
    </xf>
    <xf numFmtId="0" fontId="9" fillId="0" borderId="16" xfId="0" applyNumberFormat="1" applyFont="1" applyBorder="1" applyAlignment="1" applyProtection="1">
      <alignment horizontal="left"/>
      <protection/>
    </xf>
    <xf numFmtId="2" fontId="9" fillId="0" borderId="17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12" xfId="0" applyNumberFormat="1" applyFont="1" applyBorder="1" applyAlignment="1" applyProtection="1">
      <alignment horizontal="left"/>
      <protection/>
    </xf>
    <xf numFmtId="0" fontId="9" fillId="0" borderId="13" xfId="0" applyNumberFormat="1" applyFont="1" applyBorder="1" applyAlignment="1" applyProtection="1">
      <alignment horizontal="left"/>
      <protection/>
    </xf>
    <xf numFmtId="0" fontId="14" fillId="24" borderId="19" xfId="0" applyNumberFormat="1" applyFont="1" applyFill="1" applyBorder="1" applyAlignment="1" applyProtection="1">
      <alignment horizontal="center"/>
      <protection locked="0"/>
    </xf>
    <xf numFmtId="0" fontId="16" fillId="24" borderId="21" xfId="0" applyNumberFormat="1" applyFont="1" applyFill="1" applyBorder="1" applyAlignment="1" applyProtection="1">
      <alignment horizontal="left"/>
      <protection/>
    </xf>
    <xf numFmtId="2" fontId="14" fillId="0" borderId="0" xfId="0" applyNumberFormat="1" applyFont="1" applyBorder="1" applyAlignment="1" applyProtection="1">
      <alignment horizontal="center"/>
      <protection/>
    </xf>
    <xf numFmtId="0" fontId="9" fillId="0" borderId="15" xfId="0" applyNumberFormat="1" applyFont="1" applyBorder="1" applyAlignment="1" applyProtection="1">
      <alignment horizontal="left"/>
      <protection/>
    </xf>
    <xf numFmtId="200" fontId="9" fillId="0" borderId="17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left"/>
      <protection/>
    </xf>
    <xf numFmtId="200" fontId="14" fillId="0" borderId="17" xfId="0" applyNumberFormat="1" applyFont="1" applyBorder="1" applyAlignment="1" applyProtection="1">
      <alignment horizontal="center"/>
      <protection/>
    </xf>
    <xf numFmtId="9" fontId="9" fillId="0" borderId="17" xfId="51" applyFont="1" applyBorder="1" applyAlignment="1" applyProtection="1">
      <alignment horizontal="right"/>
      <protection/>
    </xf>
    <xf numFmtId="0" fontId="10" fillId="0" borderId="14" xfId="0" applyNumberFormat="1" applyFont="1" applyBorder="1" applyAlignment="1" applyProtection="1">
      <alignment horizontal="left"/>
      <protection/>
    </xf>
    <xf numFmtId="0" fontId="9" fillId="0" borderId="14" xfId="0" applyNumberFormat="1" applyFont="1" applyBorder="1" applyAlignment="1" applyProtection="1">
      <alignment horizontal="left"/>
      <protection/>
    </xf>
    <xf numFmtId="0" fontId="14" fillId="0" borderId="16" xfId="0" applyNumberFormat="1" applyFont="1" applyBorder="1" applyAlignment="1" applyProtection="1">
      <alignment horizontal="left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2" fontId="14" fillId="0" borderId="18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9" fontId="9" fillId="0" borderId="0" xfId="51" applyFont="1" applyBorder="1" applyAlignment="1" applyProtection="1">
      <alignment horizontal="right"/>
      <protection/>
    </xf>
    <xf numFmtId="200" fontId="9" fillId="0" borderId="18" xfId="0" applyNumberFormat="1" applyFont="1" applyBorder="1" applyAlignment="1" applyProtection="1">
      <alignment horizontal="right"/>
      <protection/>
    </xf>
    <xf numFmtId="0" fontId="9" fillId="0" borderId="16" xfId="0" applyNumberFormat="1" applyFont="1" applyBorder="1" applyAlignment="1" applyProtection="1">
      <alignment horizontal="left"/>
      <protection/>
    </xf>
    <xf numFmtId="0" fontId="9" fillId="0" borderId="17" xfId="0" applyNumberFormat="1" applyFont="1" applyBorder="1" applyAlignment="1" applyProtection="1">
      <alignment horizontal="left"/>
      <protection/>
    </xf>
    <xf numFmtId="0" fontId="9" fillId="0" borderId="18" xfId="0" applyNumberFormat="1" applyFont="1" applyBorder="1" applyAlignment="1" applyProtection="1">
      <alignment horizontal="left"/>
      <protection/>
    </xf>
    <xf numFmtId="201" fontId="14" fillId="0" borderId="17" xfId="0" applyNumberFormat="1" applyFont="1" applyBorder="1" applyAlignment="1" applyProtection="1">
      <alignment horizontal="center"/>
      <protection/>
    </xf>
    <xf numFmtId="202" fontId="9" fillId="0" borderId="17" xfId="0" applyNumberFormat="1" applyFont="1" applyBorder="1" applyAlignment="1" applyProtection="1">
      <alignment horizontal="center"/>
      <protection/>
    </xf>
    <xf numFmtId="202" fontId="14" fillId="0" borderId="18" xfId="0" applyNumberFormat="1" applyFont="1" applyBorder="1" applyAlignment="1" applyProtection="1">
      <alignment horizontal="center"/>
      <protection/>
    </xf>
    <xf numFmtId="0" fontId="11" fillId="0" borderId="11" xfId="0" applyNumberFormat="1" applyFont="1" applyBorder="1" applyAlignment="1" applyProtection="1">
      <alignment horizontal="center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11" fillId="0" borderId="16" xfId="0" applyNumberFormat="1" applyFont="1" applyBorder="1" applyAlignment="1" applyProtection="1">
      <alignment horizontal="center"/>
      <protection/>
    </xf>
    <xf numFmtId="0" fontId="11" fillId="0" borderId="22" xfId="0" applyNumberFormat="1" applyFont="1" applyBorder="1" applyAlignment="1" applyProtection="1">
      <alignment horizontal="center"/>
      <protection/>
    </xf>
    <xf numFmtId="0" fontId="10" fillId="0" borderId="23" xfId="0" applyNumberFormat="1" applyFont="1" applyBorder="1" applyAlignment="1" applyProtection="1">
      <alignment horizontal="center"/>
      <protection/>
    </xf>
    <xf numFmtId="0" fontId="2" fillId="0" borderId="19" xfId="0" applyNumberFormat="1" applyFont="1" applyBorder="1" applyAlignment="1" applyProtection="1">
      <alignment horizontal="center"/>
      <protection/>
    </xf>
    <xf numFmtId="200" fontId="5" fillId="0" borderId="0" xfId="0" applyNumberFormat="1" applyFont="1" applyBorder="1" applyAlignment="1" applyProtection="1">
      <alignment horizontal="center"/>
      <protection/>
    </xf>
    <xf numFmtId="200" fontId="5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92" zoomScaleNormal="92" zoomScalePageLayoutView="0" workbookViewId="0" topLeftCell="A1">
      <selection activeCell="G14" sqref="G14"/>
    </sheetView>
  </sheetViews>
  <sheetFormatPr defaultColWidth="11.421875" defaultRowHeight="15" customHeight="1"/>
  <cols>
    <col min="1" max="1" width="20.7109375" style="0" customWidth="1"/>
    <col min="2" max="4" width="7.28125" style="0" customWidth="1"/>
    <col min="5" max="5" width="8.7109375" style="0" customWidth="1"/>
    <col min="6" max="6" width="20.7109375" style="0" customWidth="1"/>
    <col min="7" max="9" width="7.28125" style="0" customWidth="1"/>
    <col min="10" max="10" width="8.7109375" style="0" customWidth="1"/>
    <col min="11" max="11" width="12.7109375" style="0" customWidth="1"/>
    <col min="12" max="12" width="7.28125" style="0" customWidth="1"/>
    <col min="13" max="13" width="8.28125" style="0" customWidth="1"/>
  </cols>
  <sheetData>
    <row r="1" spans="1:13" ht="15" customHeight="1">
      <c r="A1" s="115" t="s">
        <v>12</v>
      </c>
      <c r="B1" s="2">
        <v>3</v>
      </c>
      <c r="C1" s="1"/>
      <c r="D1" s="1"/>
      <c r="E1" s="1"/>
      <c r="F1" s="52" t="s">
        <v>6</v>
      </c>
      <c r="H1" s="3"/>
      <c r="I1" s="3"/>
      <c r="J1" s="3"/>
      <c r="K1" s="4"/>
      <c r="L1" s="3"/>
      <c r="M1" s="3"/>
    </row>
    <row r="2" spans="1:13" ht="15" customHeight="1">
      <c r="A2" s="3"/>
      <c r="B2" s="1"/>
      <c r="C2" s="1"/>
      <c r="D2" s="1"/>
      <c r="E2" s="3"/>
      <c r="F2" s="3"/>
      <c r="G2" s="3"/>
      <c r="H2" s="3"/>
      <c r="I2" s="3"/>
      <c r="J2" s="3"/>
      <c r="K2" s="5"/>
      <c r="L2" s="3"/>
      <c r="M2" s="3"/>
    </row>
    <row r="3" spans="1:13" ht="1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>
      <c r="A4" s="8" t="s">
        <v>13</v>
      </c>
      <c r="B4" s="9"/>
      <c r="C4" s="9" t="s">
        <v>14</v>
      </c>
      <c r="D4" s="10" t="s">
        <v>7</v>
      </c>
      <c r="E4" s="1"/>
      <c r="F4" s="8" t="s">
        <v>15</v>
      </c>
      <c r="G4" s="9"/>
      <c r="H4" s="9" t="s">
        <v>14</v>
      </c>
      <c r="I4" s="10" t="s">
        <v>7</v>
      </c>
      <c r="J4" s="3"/>
      <c r="K4" s="8" t="s">
        <v>16</v>
      </c>
      <c r="L4" s="9"/>
      <c r="M4" s="10"/>
    </row>
    <row r="5" spans="1:13" ht="15" customHeight="1">
      <c r="A5" s="11"/>
      <c r="B5" s="1"/>
      <c r="C5" s="1" t="s">
        <v>17</v>
      </c>
      <c r="D5" s="12" t="s">
        <v>18</v>
      </c>
      <c r="E5" s="1"/>
      <c r="F5" s="13"/>
      <c r="G5" s="1"/>
      <c r="H5" s="1" t="s">
        <v>17</v>
      </c>
      <c r="I5" s="12" t="s">
        <v>18</v>
      </c>
      <c r="J5" s="3"/>
      <c r="K5" s="14"/>
      <c r="L5" s="1"/>
      <c r="M5" s="12"/>
    </row>
    <row r="6" spans="1:13" ht="15" customHeight="1">
      <c r="A6" s="15" t="s">
        <v>19</v>
      </c>
      <c r="B6" s="16">
        <v>25</v>
      </c>
      <c r="C6" s="1"/>
      <c r="D6" s="12"/>
      <c r="E6" s="3"/>
      <c r="F6" s="15" t="s">
        <v>19</v>
      </c>
      <c r="G6" s="16">
        <v>3</v>
      </c>
      <c r="H6" s="1"/>
      <c r="I6" s="12"/>
      <c r="J6" s="1"/>
      <c r="K6" s="14"/>
      <c r="L6" s="1" t="s">
        <v>14</v>
      </c>
      <c r="M6" s="12" t="s">
        <v>7</v>
      </c>
    </row>
    <row r="7" spans="1:13" ht="15" customHeight="1">
      <c r="A7" s="15" t="s">
        <v>20</v>
      </c>
      <c r="B7" s="16">
        <v>1.8</v>
      </c>
      <c r="C7" s="17">
        <f>B7*(1+B7/B1)</f>
        <v>2.8800000000000003</v>
      </c>
      <c r="D7" s="18">
        <f>C7/(1+2/B1)</f>
        <v>1.7280000000000004</v>
      </c>
      <c r="E7" s="3"/>
      <c r="F7" s="15" t="s">
        <v>20</v>
      </c>
      <c r="G7" s="16">
        <v>1.8</v>
      </c>
      <c r="H7" s="17">
        <f>G7*(1+G7/B1)</f>
        <v>2.8800000000000003</v>
      </c>
      <c r="I7" s="18">
        <f>H7/(1+2/B1)</f>
        <v>1.7280000000000004</v>
      </c>
      <c r="J7" s="1"/>
      <c r="K7" s="13"/>
      <c r="L7" s="1" t="s">
        <v>17</v>
      </c>
      <c r="M7" s="12" t="s">
        <v>18</v>
      </c>
    </row>
    <row r="8" spans="1:13" ht="15" customHeight="1">
      <c r="A8" s="19" t="s">
        <v>21</v>
      </c>
      <c r="B8" s="20">
        <f>B6*B7</f>
        <v>45</v>
      </c>
      <c r="C8" s="20">
        <f>B6*C7</f>
        <v>72.00000000000001</v>
      </c>
      <c r="D8" s="21">
        <f>B6*D7</f>
        <v>43.20000000000001</v>
      </c>
      <c r="E8" s="3"/>
      <c r="F8" s="19" t="s">
        <v>21</v>
      </c>
      <c r="G8" s="20">
        <f>G6*G7</f>
        <v>5.4</v>
      </c>
      <c r="H8" s="20">
        <f>G6*H7</f>
        <v>8.64</v>
      </c>
      <c r="I8" s="21">
        <f>G6*I7</f>
        <v>5.184000000000001</v>
      </c>
      <c r="J8" s="3"/>
      <c r="K8" s="19" t="s">
        <v>22</v>
      </c>
      <c r="L8" s="20">
        <f>C8+H8</f>
        <v>80.64000000000001</v>
      </c>
      <c r="M8" s="21">
        <f>D8+I8</f>
        <v>48.384000000000015</v>
      </c>
    </row>
    <row r="9" spans="1:13" ht="15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8" t="s">
        <v>23</v>
      </c>
      <c r="B10" s="9" t="s">
        <v>24</v>
      </c>
      <c r="C10" s="9" t="s">
        <v>14</v>
      </c>
      <c r="D10" s="10" t="s">
        <v>7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>
      <c r="A11" s="11"/>
      <c r="B11" s="1" t="s">
        <v>18</v>
      </c>
      <c r="C11" s="1" t="s">
        <v>17</v>
      </c>
      <c r="D11" s="12" t="s">
        <v>18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>
      <c r="A12" s="15" t="s">
        <v>25</v>
      </c>
      <c r="B12" s="16">
        <v>4.9</v>
      </c>
      <c r="C12" s="17">
        <f>B12*(1+B12/B1)</f>
        <v>12.903333333333336</v>
      </c>
      <c r="D12" s="22">
        <f>C12/(1+2/B1)</f>
        <v>7.742000000000003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15" t="s">
        <v>26</v>
      </c>
      <c r="B13" s="16">
        <f>B12</f>
        <v>4.9</v>
      </c>
      <c r="C13" s="17">
        <f>B13*(1+B13/B1)</f>
        <v>12.903333333333336</v>
      </c>
      <c r="D13" s="22">
        <f>C13/(1+2/B1)</f>
        <v>7.742000000000003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15" t="s">
        <v>27</v>
      </c>
      <c r="B14" s="16">
        <f>B13</f>
        <v>4.9</v>
      </c>
      <c r="C14" s="17">
        <f>B14*(1+B14/B1)</f>
        <v>12.903333333333336</v>
      </c>
      <c r="D14" s="22">
        <f>C14/(1+2/B1)</f>
        <v>7.742000000000003</v>
      </c>
      <c r="E14" s="3"/>
      <c r="F14" s="3"/>
      <c r="G14" s="3"/>
      <c r="H14" s="3"/>
      <c r="I14" s="3"/>
      <c r="J14" s="3"/>
      <c r="K14" s="8" t="s">
        <v>28</v>
      </c>
      <c r="L14" s="9"/>
      <c r="M14" s="10"/>
    </row>
    <row r="15" spans="1:13" ht="15" customHeight="1">
      <c r="A15" s="15" t="s">
        <v>29</v>
      </c>
      <c r="B15" s="16">
        <f>B14</f>
        <v>4.9</v>
      </c>
      <c r="C15" s="17">
        <f>B15*(1+B15/B1)</f>
        <v>12.903333333333336</v>
      </c>
      <c r="D15" s="22">
        <f>C15/(1+2/B1)</f>
        <v>7.742000000000003</v>
      </c>
      <c r="E15" s="3"/>
      <c r="F15" s="3"/>
      <c r="G15" s="3"/>
      <c r="H15" s="3"/>
      <c r="I15" s="3"/>
      <c r="J15" s="3"/>
      <c r="K15" s="14"/>
      <c r="L15" s="1"/>
      <c r="M15" s="12"/>
    </row>
    <row r="16" spans="1:13" ht="15" customHeight="1">
      <c r="A16" s="15" t="s">
        <v>30</v>
      </c>
      <c r="B16" s="16"/>
      <c r="C16" s="17">
        <f>B16*(1+B16/B1)</f>
        <v>0</v>
      </c>
      <c r="D16" s="22">
        <f>C16/(1+2/B1)</f>
        <v>0</v>
      </c>
      <c r="E16" s="3"/>
      <c r="F16" s="3"/>
      <c r="G16" s="3"/>
      <c r="H16" s="3"/>
      <c r="I16" s="3"/>
      <c r="J16" s="3"/>
      <c r="K16" s="14"/>
      <c r="L16" s="1" t="s">
        <v>14</v>
      </c>
      <c r="M16" s="12" t="s">
        <v>7</v>
      </c>
    </row>
    <row r="17" spans="1:13" ht="15" customHeight="1">
      <c r="A17" s="15" t="s">
        <v>31</v>
      </c>
      <c r="B17" s="16"/>
      <c r="C17" s="17">
        <f>B17*(1+B17/B1)</f>
        <v>0</v>
      </c>
      <c r="D17" s="22">
        <f>C17/(1+2/B1)</f>
        <v>0</v>
      </c>
      <c r="E17" s="3"/>
      <c r="F17" s="3"/>
      <c r="G17" s="3"/>
      <c r="H17" s="3"/>
      <c r="I17" s="3"/>
      <c r="J17" s="3"/>
      <c r="K17" s="14"/>
      <c r="L17" s="1" t="s">
        <v>17</v>
      </c>
      <c r="M17" s="12" t="s">
        <v>18</v>
      </c>
    </row>
    <row r="18" spans="1:13" ht="15" customHeight="1">
      <c r="A18" s="19" t="s">
        <v>21</v>
      </c>
      <c r="B18" s="20"/>
      <c r="C18" s="20">
        <f>SUM(C12:C17)</f>
        <v>51.613333333333344</v>
      </c>
      <c r="D18" s="21">
        <f>SUM(D12:D17)</f>
        <v>30.96800000000001</v>
      </c>
      <c r="E18" s="3"/>
      <c r="F18" s="3"/>
      <c r="G18" s="3"/>
      <c r="H18" s="3"/>
      <c r="I18" s="3"/>
      <c r="J18" s="3"/>
      <c r="K18" s="19" t="s">
        <v>32</v>
      </c>
      <c r="L18" s="23">
        <f>L8+C18</f>
        <v>132.25333333333336</v>
      </c>
      <c r="M18" s="21">
        <f>M8+D18</f>
        <v>79.35200000000003</v>
      </c>
    </row>
    <row r="19" spans="1:13" ht="1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8" t="s">
        <v>8</v>
      </c>
      <c r="B20" s="24">
        <v>60</v>
      </c>
      <c r="C20" s="25" t="s">
        <v>33</v>
      </c>
      <c r="D20" s="26"/>
      <c r="E20" s="7"/>
      <c r="F20" s="8" t="s">
        <v>34</v>
      </c>
      <c r="G20" s="9" t="s">
        <v>24</v>
      </c>
      <c r="H20" s="9" t="s">
        <v>14</v>
      </c>
      <c r="I20" s="10" t="s">
        <v>7</v>
      </c>
      <c r="J20" s="7"/>
      <c r="K20" s="7"/>
      <c r="L20" s="7"/>
      <c r="M20" s="7"/>
    </row>
    <row r="21" spans="1:13" ht="15" customHeight="1">
      <c r="A21" s="15" t="s">
        <v>35</v>
      </c>
      <c r="B21" s="27">
        <f>B20*(1+2/B1)</f>
        <v>99.99999999999999</v>
      </c>
      <c r="C21" s="4"/>
      <c r="D21" s="28"/>
      <c r="E21" s="3"/>
      <c r="F21" s="29" t="s">
        <v>32</v>
      </c>
      <c r="G21" s="1" t="s">
        <v>18</v>
      </c>
      <c r="H21" s="1" t="s">
        <v>17</v>
      </c>
      <c r="I21" s="12" t="s">
        <v>18</v>
      </c>
      <c r="J21" s="3"/>
      <c r="K21" s="3"/>
      <c r="L21" s="3"/>
      <c r="M21" s="3"/>
    </row>
    <row r="22" spans="1:13" ht="15" customHeight="1">
      <c r="A22" s="36" t="s">
        <v>36</v>
      </c>
      <c r="B22" s="37">
        <f>(1+B13/B12+B14/B12+B15/B12+B16/B12+B17/B12)/(1+B13*B13/B12/B12+B14*B14/B12/B12+B15*B15/B12/B12+B16*B16/B12/B12+B17*B17/B12/B12)</f>
        <v>1</v>
      </c>
      <c r="C22" s="38" t="s">
        <v>37</v>
      </c>
      <c r="D22" s="39">
        <f>1/(1+B13*B13/B12/B12+B14*B14/B12/B12+B15*B15/B12/B12+B16*B16/B12/B12+B17*B17/B12/B12)</f>
        <v>0.25</v>
      </c>
      <c r="E22" s="3"/>
      <c r="F22" s="14"/>
      <c r="G22" s="1"/>
      <c r="H22" s="1"/>
      <c r="I22" s="12"/>
      <c r="J22" s="3"/>
      <c r="K22" s="3"/>
      <c r="L22" s="3"/>
      <c r="M22" s="3"/>
    </row>
    <row r="23" spans="1:13" ht="15" customHeight="1">
      <c r="A23" s="15" t="s">
        <v>38</v>
      </c>
      <c r="B23" s="116">
        <f>-B22/2*B1+SQRT(B22*B22/4*B1*B1+D22*B1*(B21-L8))</f>
        <v>2.5951190458886515</v>
      </c>
      <c r="C23" s="30" t="e">
        <f aca="true" t="shared" si="0" ref="C23:C28">B23/D23</f>
        <v>#DIV/0!</v>
      </c>
      <c r="D23" s="16"/>
      <c r="E23" s="3"/>
      <c r="F23" s="31" t="s">
        <v>39</v>
      </c>
      <c r="G23" s="1"/>
      <c r="H23" s="17">
        <f>I23*(1+2/B1)</f>
        <v>116.66666666666666</v>
      </c>
      <c r="I23" s="16">
        <v>70</v>
      </c>
      <c r="J23" s="3"/>
      <c r="K23" s="3"/>
      <c r="L23" s="3"/>
      <c r="M23" s="3"/>
    </row>
    <row r="24" spans="1:13" ht="15" customHeight="1">
      <c r="A24" s="15" t="s">
        <v>40</v>
      </c>
      <c r="B24" s="116">
        <f>B23*B13/B12</f>
        <v>2.5951190458886515</v>
      </c>
      <c r="C24" s="30" t="e">
        <f t="shared" si="0"/>
        <v>#DIV/0!</v>
      </c>
      <c r="D24" s="16"/>
      <c r="E24" s="1"/>
      <c r="F24" s="15" t="s">
        <v>41</v>
      </c>
      <c r="G24" s="16">
        <v>3</v>
      </c>
      <c r="H24" s="1"/>
      <c r="I24" s="12"/>
      <c r="J24" s="3"/>
      <c r="K24" s="3"/>
      <c r="L24" s="3"/>
      <c r="M24" s="3"/>
    </row>
    <row r="25" spans="1:13" ht="15" customHeight="1">
      <c r="A25" s="15" t="s">
        <v>42</v>
      </c>
      <c r="B25" s="116">
        <f>B23*B14/B12</f>
        <v>2.5951190458886515</v>
      </c>
      <c r="C25" s="30" t="e">
        <f t="shared" si="0"/>
        <v>#DIV/0!</v>
      </c>
      <c r="D25" s="16"/>
      <c r="E25" s="1"/>
      <c r="F25" s="32" t="s">
        <v>43</v>
      </c>
      <c r="G25" s="44" t="e">
        <f>-B1/2+SQRT(B1*B1/4+B1/G24*(H23-C18-L8))</f>
        <v>#NUM!</v>
      </c>
      <c r="H25" s="35" t="e">
        <f>G25*(1+G25/B1)</f>
        <v>#NUM!</v>
      </c>
      <c r="I25" s="45" t="e">
        <f>H25/(1+2/B1)</f>
        <v>#NUM!</v>
      </c>
      <c r="J25" s="1"/>
      <c r="K25" s="1"/>
      <c r="L25" s="1"/>
      <c r="M25" s="1"/>
    </row>
    <row r="26" spans="1:13" ht="15" customHeight="1">
      <c r="A26" s="15" t="s">
        <v>44</v>
      </c>
      <c r="B26" s="116">
        <f>B23*B15/B12</f>
        <v>2.5951190458886515</v>
      </c>
      <c r="C26" s="30" t="e">
        <f t="shared" si="0"/>
        <v>#DIV/0!</v>
      </c>
      <c r="D26" s="16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>
      <c r="A27" s="15" t="s">
        <v>45</v>
      </c>
      <c r="B27" s="116">
        <f>B23*B16/B12</f>
        <v>0</v>
      </c>
      <c r="C27" s="30" t="e">
        <f t="shared" si="0"/>
        <v>#DIV/0!</v>
      </c>
      <c r="D27" s="16"/>
      <c r="E27" s="3"/>
      <c r="F27" s="1"/>
      <c r="G27" s="1"/>
      <c r="H27" s="1"/>
      <c r="I27" s="1"/>
      <c r="J27" s="1"/>
      <c r="K27" s="1"/>
      <c r="L27" s="1"/>
      <c r="M27" s="1"/>
    </row>
    <row r="28" spans="1:13" ht="15" customHeight="1">
      <c r="A28" s="33" t="s">
        <v>46</v>
      </c>
      <c r="B28" s="117">
        <f>B23*B17/B12</f>
        <v>0</v>
      </c>
      <c r="C28" s="34" t="e">
        <f t="shared" si="0"/>
        <v>#DIV/0!</v>
      </c>
      <c r="D28" s="16"/>
      <c r="E28" s="3"/>
      <c r="F28" s="3"/>
      <c r="G28" s="3"/>
      <c r="H28" s="3"/>
      <c r="I28" s="3"/>
      <c r="J28" s="3"/>
      <c r="K28" s="3"/>
      <c r="L28" s="3"/>
      <c r="M28" s="3"/>
    </row>
  </sheetData>
  <sheetProtection password="CC98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A1" sqref="A1:M38"/>
    </sheetView>
  </sheetViews>
  <sheetFormatPr defaultColWidth="11.57421875" defaultRowHeight="15" customHeight="1"/>
  <cols>
    <col min="1" max="1" width="20.7109375" style="52" customWidth="1"/>
    <col min="2" max="4" width="7.28125" style="52" customWidth="1"/>
    <col min="5" max="5" width="8.7109375" style="52" customWidth="1"/>
    <col min="6" max="6" width="20.7109375" style="52" customWidth="1"/>
    <col min="7" max="9" width="7.28125" style="52" customWidth="1"/>
    <col min="10" max="10" width="8.7109375" style="52" customWidth="1"/>
    <col min="11" max="11" width="12.7109375" style="52" customWidth="1"/>
    <col min="12" max="12" width="7.28125" style="52" customWidth="1"/>
    <col min="13" max="13" width="8.28125" style="52" customWidth="1"/>
    <col min="14" max="16384" width="11.421875" style="52" customWidth="1"/>
  </cols>
  <sheetData>
    <row r="1" spans="1:13" ht="15" customHeight="1">
      <c r="A1" s="113" t="s">
        <v>76</v>
      </c>
      <c r="B1" s="49">
        <v>10</v>
      </c>
      <c r="C1" s="46"/>
      <c r="D1" s="46"/>
      <c r="E1" s="46"/>
      <c r="F1" s="52" t="s">
        <v>6</v>
      </c>
      <c r="H1" s="46"/>
      <c r="I1" s="46"/>
      <c r="J1" s="46"/>
      <c r="K1" s="50"/>
      <c r="L1" s="51"/>
      <c r="M1" s="46"/>
    </row>
    <row r="2" spans="1:13" ht="15" customHeight="1">
      <c r="A2" s="114" t="s">
        <v>77</v>
      </c>
      <c r="B2" s="49">
        <v>1.5</v>
      </c>
      <c r="C2" s="46"/>
      <c r="D2" s="46"/>
      <c r="E2" s="46"/>
      <c r="H2" s="46"/>
      <c r="I2" s="46"/>
      <c r="J2" s="46"/>
      <c r="K2" s="54"/>
      <c r="L2" s="51"/>
      <c r="M2" s="46"/>
    </row>
    <row r="3" spans="1:13" ht="15" customHeight="1">
      <c r="A3" s="112" t="s">
        <v>78</v>
      </c>
      <c r="B3" s="55">
        <f>LN(2)/B2</f>
        <v>0.46209812037329684</v>
      </c>
      <c r="C3" s="46"/>
      <c r="D3" s="46"/>
      <c r="E3" s="46"/>
      <c r="H3" s="46"/>
      <c r="I3" s="51"/>
      <c r="J3" s="51"/>
      <c r="K3" s="56"/>
      <c r="L3" s="46"/>
      <c r="M3" s="51"/>
    </row>
    <row r="4" spans="1:13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" customHeight="1">
      <c r="A5" s="47" t="s">
        <v>13</v>
      </c>
      <c r="B5" s="48"/>
      <c r="C5" s="48" t="s">
        <v>14</v>
      </c>
      <c r="D5" s="57" t="s">
        <v>9</v>
      </c>
      <c r="E5" s="51"/>
      <c r="F5" s="47" t="s">
        <v>15</v>
      </c>
      <c r="G5" s="48"/>
      <c r="H5" s="48" t="s">
        <v>14</v>
      </c>
      <c r="I5" s="57" t="s">
        <v>9</v>
      </c>
      <c r="J5" s="51"/>
      <c r="K5" s="47" t="s">
        <v>16</v>
      </c>
      <c r="L5" s="48"/>
      <c r="M5" s="57"/>
    </row>
    <row r="6" spans="1:13" ht="15" customHeight="1">
      <c r="A6" s="58"/>
      <c r="B6" s="46"/>
      <c r="C6" s="46" t="s">
        <v>79</v>
      </c>
      <c r="D6" s="59" t="s">
        <v>18</v>
      </c>
      <c r="E6" s="51"/>
      <c r="F6" s="58"/>
      <c r="G6" s="46"/>
      <c r="H6" s="46" t="s">
        <v>79</v>
      </c>
      <c r="I6" s="59" t="s">
        <v>18</v>
      </c>
      <c r="J6" s="51"/>
      <c r="K6" s="53"/>
      <c r="L6" s="46"/>
      <c r="M6" s="59"/>
    </row>
    <row r="7" spans="1:13" ht="15" customHeight="1">
      <c r="A7" s="60" t="s">
        <v>19</v>
      </c>
      <c r="B7" s="61"/>
      <c r="C7" s="53"/>
      <c r="D7" s="59"/>
      <c r="E7" s="46"/>
      <c r="F7" s="60" t="s">
        <v>19</v>
      </c>
      <c r="G7" s="61"/>
      <c r="H7" s="46"/>
      <c r="I7" s="59"/>
      <c r="J7" s="46"/>
      <c r="K7" s="53"/>
      <c r="L7" s="46" t="s">
        <v>14</v>
      </c>
      <c r="M7" s="59" t="s">
        <v>9</v>
      </c>
    </row>
    <row r="8" spans="1:13" ht="15" customHeight="1">
      <c r="A8" s="60" t="s">
        <v>20</v>
      </c>
      <c r="B8" s="61"/>
      <c r="C8" s="62">
        <f>B8*(1+B8/B1)</f>
        <v>0</v>
      </c>
      <c r="D8" s="63">
        <f>C8/(1+2/B1)</f>
        <v>0</v>
      </c>
      <c r="E8" s="46"/>
      <c r="F8" s="60" t="s">
        <v>20</v>
      </c>
      <c r="G8" s="61"/>
      <c r="H8" s="64">
        <f>G8*(1+G8/B1)</f>
        <v>0</v>
      </c>
      <c r="I8" s="63">
        <f>H8/(1+2/B1)</f>
        <v>0</v>
      </c>
      <c r="J8" s="46"/>
      <c r="K8" s="58"/>
      <c r="L8" s="46" t="s">
        <v>79</v>
      </c>
      <c r="M8" s="59" t="s">
        <v>18</v>
      </c>
    </row>
    <row r="9" spans="1:13" ht="15" customHeight="1">
      <c r="A9" s="65" t="s">
        <v>21</v>
      </c>
      <c r="B9" s="66">
        <f>B7*B8</f>
        <v>0</v>
      </c>
      <c r="C9" s="66">
        <f>B7*C8</f>
        <v>0</v>
      </c>
      <c r="D9" s="67">
        <f>B7*D8</f>
        <v>0</v>
      </c>
      <c r="E9" s="51"/>
      <c r="F9" s="65" t="s">
        <v>21</v>
      </c>
      <c r="G9" s="66">
        <f>G7*G8</f>
        <v>0</v>
      </c>
      <c r="H9" s="66">
        <f>G7*H8</f>
        <v>0</v>
      </c>
      <c r="I9" s="67">
        <f>G7*I8</f>
        <v>0</v>
      </c>
      <c r="J9" s="51"/>
      <c r="K9" s="65" t="s">
        <v>22</v>
      </c>
      <c r="L9" s="66">
        <f>C9+H9</f>
        <v>0</v>
      </c>
      <c r="M9" s="67">
        <f>D9+I9</f>
        <v>0</v>
      </c>
    </row>
    <row r="10" spans="1:13" ht="15" customHeight="1">
      <c r="A10" s="68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5" customHeight="1">
      <c r="A11" s="47" t="s">
        <v>47</v>
      </c>
      <c r="B11" s="48"/>
      <c r="C11" s="48" t="s">
        <v>14</v>
      </c>
      <c r="D11" s="57" t="s">
        <v>9</v>
      </c>
      <c r="E11" s="51"/>
      <c r="F11" s="47" t="s">
        <v>48</v>
      </c>
      <c r="G11" s="48"/>
      <c r="H11" s="48" t="s">
        <v>14</v>
      </c>
      <c r="I11" s="57" t="s">
        <v>9</v>
      </c>
      <c r="J11" s="51"/>
      <c r="K11" s="47" t="s">
        <v>49</v>
      </c>
      <c r="L11" s="48"/>
      <c r="M11" s="57"/>
    </row>
    <row r="12" spans="1:13" ht="15" customHeight="1">
      <c r="A12" s="53"/>
      <c r="B12" s="46"/>
      <c r="C12" s="46" t="s">
        <v>79</v>
      </c>
      <c r="D12" s="59" t="s">
        <v>18</v>
      </c>
      <c r="E12" s="51"/>
      <c r="F12" s="53"/>
      <c r="G12" s="46"/>
      <c r="H12" s="46" t="s">
        <v>79</v>
      </c>
      <c r="I12" s="59" t="s">
        <v>18</v>
      </c>
      <c r="J12" s="51"/>
      <c r="K12" s="53"/>
      <c r="L12" s="46"/>
      <c r="M12" s="59"/>
    </row>
    <row r="13" spans="1:13" ht="15" customHeight="1">
      <c r="A13" s="60" t="s">
        <v>80</v>
      </c>
      <c r="B13" s="61"/>
      <c r="C13" s="64">
        <f>B13*(1+D15*B13/B1)</f>
        <v>0</v>
      </c>
      <c r="D13" s="69">
        <f>C13/(1+2/B1)</f>
        <v>0</v>
      </c>
      <c r="E13" s="51"/>
      <c r="F13" s="60" t="s">
        <v>81</v>
      </c>
      <c r="G13" s="61"/>
      <c r="H13" s="64">
        <f>G13*(1+I15*G13/B1)</f>
        <v>0</v>
      </c>
      <c r="I13" s="69">
        <f>H13/(1+2/B1)</f>
        <v>0</v>
      </c>
      <c r="J13" s="51"/>
      <c r="K13" s="53"/>
      <c r="L13" s="46" t="s">
        <v>14</v>
      </c>
      <c r="M13" s="59" t="s">
        <v>9</v>
      </c>
    </row>
    <row r="14" spans="1:13" ht="15" customHeight="1">
      <c r="A14" s="60" t="s">
        <v>82</v>
      </c>
      <c r="B14" s="61"/>
      <c r="C14" s="46"/>
      <c r="D14" s="59"/>
      <c r="E14" s="51"/>
      <c r="F14" s="60" t="s">
        <v>83</v>
      </c>
      <c r="G14" s="61"/>
      <c r="H14" s="46"/>
      <c r="I14" s="59"/>
      <c r="J14" s="51"/>
      <c r="K14" s="58"/>
      <c r="L14" s="46" t="s">
        <v>79</v>
      </c>
      <c r="M14" s="59" t="s">
        <v>18</v>
      </c>
    </row>
    <row r="15" spans="1:13" ht="15" customHeight="1">
      <c r="A15" s="70" t="s">
        <v>50</v>
      </c>
      <c r="B15" s="71" t="e">
        <f>B13/B14</f>
        <v>#DIV/0!</v>
      </c>
      <c r="C15" s="40" t="s">
        <v>64</v>
      </c>
      <c r="D15" s="41">
        <f>IF(B14=0,0,2/(B3*B14)*(1-(1-EXP(-B3*B14))/(B3*B14)))</f>
        <v>0</v>
      </c>
      <c r="E15" s="51"/>
      <c r="F15" s="70" t="s">
        <v>50</v>
      </c>
      <c r="G15" s="71" t="e">
        <f>G13/G14</f>
        <v>#DIV/0!</v>
      </c>
      <c r="H15" s="40" t="s">
        <v>66</v>
      </c>
      <c r="I15" s="41">
        <f>IF(G14=0,0,2/(B3*G14)*(1-(1-EXP(-B3*G14))/(B3*G14)))</f>
        <v>0</v>
      </c>
      <c r="J15" s="51"/>
      <c r="K15" s="65" t="s">
        <v>51</v>
      </c>
      <c r="L15" s="66">
        <f>C13+H13+C19+H19</f>
        <v>0</v>
      </c>
      <c r="M15" s="67">
        <f>D13+I13+D19+I19</f>
        <v>0</v>
      </c>
    </row>
    <row r="16" spans="1:13" ht="1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6"/>
      <c r="L16" s="56"/>
      <c r="M16" s="56"/>
    </row>
    <row r="17" spans="1:13" ht="15" customHeight="1">
      <c r="A17" s="47" t="s">
        <v>52</v>
      </c>
      <c r="B17" s="48"/>
      <c r="C17" s="48" t="s">
        <v>14</v>
      </c>
      <c r="D17" s="57" t="s">
        <v>9</v>
      </c>
      <c r="E17" s="51"/>
      <c r="F17" s="47" t="s">
        <v>53</v>
      </c>
      <c r="G17" s="72"/>
      <c r="H17" s="48" t="s">
        <v>14</v>
      </c>
      <c r="I17" s="57" t="s">
        <v>9</v>
      </c>
      <c r="J17" s="51"/>
      <c r="K17" s="73" t="s">
        <v>54</v>
      </c>
      <c r="L17" s="72"/>
      <c r="M17" s="74"/>
    </row>
    <row r="18" spans="1:13" ht="15" customHeight="1">
      <c r="A18" s="53"/>
      <c r="B18" s="46"/>
      <c r="C18" s="46" t="s">
        <v>79</v>
      </c>
      <c r="D18" s="59" t="s">
        <v>18</v>
      </c>
      <c r="E18" s="51"/>
      <c r="F18" s="53"/>
      <c r="G18" s="46"/>
      <c r="H18" s="46" t="s">
        <v>79</v>
      </c>
      <c r="I18" s="59" t="s">
        <v>18</v>
      </c>
      <c r="J18" s="51"/>
      <c r="K18" s="53"/>
      <c r="L18" s="46"/>
      <c r="M18" s="59"/>
    </row>
    <row r="19" spans="1:13" ht="15" customHeight="1">
      <c r="A19" s="60" t="s">
        <v>84</v>
      </c>
      <c r="B19" s="61"/>
      <c r="C19" s="64">
        <f>B19*(1+D21*B19/B1)</f>
        <v>0</v>
      </c>
      <c r="D19" s="69">
        <f>C19/(1+2/B1)</f>
        <v>0</v>
      </c>
      <c r="E19" s="51"/>
      <c r="F19" s="60" t="s">
        <v>85</v>
      </c>
      <c r="G19" s="61"/>
      <c r="H19" s="64">
        <f>G19*(1+I21*G19/B1)</f>
        <v>0</v>
      </c>
      <c r="I19" s="69">
        <f>H19/(1+2/B1)</f>
        <v>0</v>
      </c>
      <c r="J19" s="51"/>
      <c r="K19" s="75"/>
      <c r="L19" s="46" t="s">
        <v>14</v>
      </c>
      <c r="M19" s="59" t="s">
        <v>9</v>
      </c>
    </row>
    <row r="20" spans="1:13" ht="15" customHeight="1">
      <c r="A20" s="60" t="s">
        <v>86</v>
      </c>
      <c r="B20" s="61"/>
      <c r="C20" s="46"/>
      <c r="D20" s="59"/>
      <c r="E20" s="51"/>
      <c r="F20" s="60" t="s">
        <v>87</v>
      </c>
      <c r="G20" s="61"/>
      <c r="H20" s="46"/>
      <c r="I20" s="59"/>
      <c r="J20" s="51"/>
      <c r="K20" s="53"/>
      <c r="L20" s="46" t="s">
        <v>79</v>
      </c>
      <c r="M20" s="59" t="s">
        <v>18</v>
      </c>
    </row>
    <row r="21" spans="1:13" ht="15" customHeight="1">
      <c r="A21" s="70" t="s">
        <v>50</v>
      </c>
      <c r="B21" s="71" t="e">
        <f>B19/B20</f>
        <v>#DIV/0!</v>
      </c>
      <c r="C21" s="40" t="s">
        <v>65</v>
      </c>
      <c r="D21" s="41">
        <f>IF(B20=0,0,2/(B3*B20)*(1-(1-EXP(-B3*B20))/(B3*B20)))</f>
        <v>0</v>
      </c>
      <c r="E21" s="51"/>
      <c r="F21" s="70" t="s">
        <v>50</v>
      </c>
      <c r="G21" s="71" t="e">
        <f>G19/G20</f>
        <v>#DIV/0!</v>
      </c>
      <c r="H21" s="40" t="s">
        <v>67</v>
      </c>
      <c r="I21" s="41">
        <f>IF(G20=0,0,2/(B3*G20)*(1-(1-EXP(-B3*G20))/(B3*G20)))</f>
        <v>0</v>
      </c>
      <c r="J21" s="51"/>
      <c r="K21" s="65" t="s">
        <v>55</v>
      </c>
      <c r="L21" s="66">
        <f>L9+L15</f>
        <v>0</v>
      </c>
      <c r="M21" s="67">
        <f>M9+M15</f>
        <v>0</v>
      </c>
    </row>
    <row r="22" spans="1:13" ht="15" customHeight="1">
      <c r="A22" s="46"/>
      <c r="B22" s="46"/>
      <c r="C22" s="46"/>
      <c r="D22" s="46"/>
      <c r="E22" s="51"/>
      <c r="F22" s="76"/>
      <c r="G22" s="76"/>
      <c r="H22" s="76"/>
      <c r="I22" s="76"/>
      <c r="J22" s="51"/>
      <c r="K22" s="51"/>
      <c r="L22" s="51"/>
      <c r="M22" s="51"/>
    </row>
    <row r="23" spans="1:13" ht="1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 customHeight="1">
      <c r="A24" s="47" t="s">
        <v>47</v>
      </c>
      <c r="B24" s="48"/>
      <c r="C24" s="48"/>
      <c r="D24" s="57"/>
      <c r="E24" s="46"/>
      <c r="F24" s="47" t="s">
        <v>48</v>
      </c>
      <c r="G24" s="48"/>
      <c r="H24" s="77"/>
      <c r="I24" s="78"/>
      <c r="J24" s="46"/>
      <c r="K24" s="47" t="s">
        <v>10</v>
      </c>
      <c r="L24" s="79">
        <v>60</v>
      </c>
      <c r="M24" s="80" t="s">
        <v>56</v>
      </c>
    </row>
    <row r="25" spans="1:13" ht="15" customHeight="1">
      <c r="A25" s="60" t="s">
        <v>88</v>
      </c>
      <c r="B25" s="81" t="e">
        <f>B26/B14</f>
        <v>#DIV/0!</v>
      </c>
      <c r="C25" s="50"/>
      <c r="D25" s="82"/>
      <c r="E25" s="46"/>
      <c r="F25" s="60" t="s">
        <v>89</v>
      </c>
      <c r="G25" s="81" t="e">
        <f>G26/G14</f>
        <v>#DIV/0!</v>
      </c>
      <c r="H25" s="50"/>
      <c r="I25" s="82"/>
      <c r="J25" s="46"/>
      <c r="K25" s="70" t="s">
        <v>90</v>
      </c>
      <c r="L25" s="83">
        <f>L24*(1+2/B1)</f>
        <v>72</v>
      </c>
      <c r="M25" s="84"/>
    </row>
    <row r="26" spans="1:13" ht="15" customHeight="1">
      <c r="A26" s="70" t="s">
        <v>91</v>
      </c>
      <c r="B26" s="85" t="e">
        <f>-L26/2*B1+SQRT(L26*L26/4*B1*B1+L27*B1*(L25-L9))</f>
        <v>#DIV/0!</v>
      </c>
      <c r="C26" s="86" t="e">
        <f>B26/D26</f>
        <v>#DIV/0!</v>
      </c>
      <c r="D26" s="61"/>
      <c r="E26" s="51"/>
      <c r="F26" s="70" t="s">
        <v>92</v>
      </c>
      <c r="G26" s="85" t="e">
        <f>B26*G13/B13</f>
        <v>#DIV/0!</v>
      </c>
      <c r="H26" s="86" t="e">
        <f>G26/I26</f>
        <v>#DIV/0!</v>
      </c>
      <c r="I26" s="61"/>
      <c r="J26" s="51"/>
      <c r="K26" s="38" t="s">
        <v>36</v>
      </c>
      <c r="L26" s="42" t="e">
        <f>(1+G13/B13+B19/B13+G19/B13)/(D15+I15*G13*G13/B13/B13+D21*B19*B19/B13/B13+I21*G19*G19/B13/B13)</f>
        <v>#DIV/0!</v>
      </c>
      <c r="M26" s="51"/>
    </row>
    <row r="27" spans="1:13" ht="15" customHeight="1">
      <c r="A27" s="51"/>
      <c r="B27" s="51"/>
      <c r="C27" s="51"/>
      <c r="D27" s="51"/>
      <c r="E27" s="56"/>
      <c r="F27" s="51"/>
      <c r="G27" s="51"/>
      <c r="H27" s="51"/>
      <c r="I27" s="51"/>
      <c r="J27" s="51"/>
      <c r="K27" s="38" t="s">
        <v>37</v>
      </c>
      <c r="L27" s="37" t="e">
        <f>1/(D15+I15*G13*G13/B13/B13+D21*B19*B19/B13/B13+I21*G19*G19/B13/B13)</f>
        <v>#DIV/0!</v>
      </c>
      <c r="M27" s="51"/>
    </row>
    <row r="28" spans="1:13" ht="15" customHeight="1">
      <c r="A28" s="47" t="s">
        <v>52</v>
      </c>
      <c r="B28" s="48"/>
      <c r="C28" s="48"/>
      <c r="D28" s="57"/>
      <c r="E28" s="51"/>
      <c r="F28" s="47" t="s">
        <v>53</v>
      </c>
      <c r="G28" s="48"/>
      <c r="H28" s="48"/>
      <c r="I28" s="57"/>
      <c r="J28" s="51"/>
      <c r="K28" s="51"/>
      <c r="L28" s="51"/>
      <c r="M28" s="51"/>
    </row>
    <row r="29" spans="1:13" ht="15" customHeight="1">
      <c r="A29" s="60" t="s">
        <v>93</v>
      </c>
      <c r="B29" s="81" t="e">
        <f>B30/B20</f>
        <v>#DIV/0!</v>
      </c>
      <c r="C29" s="50"/>
      <c r="D29" s="82"/>
      <c r="E29" s="51"/>
      <c r="F29" s="60" t="s">
        <v>94</v>
      </c>
      <c r="G29" s="81" t="e">
        <f>G30/G20</f>
        <v>#DIV/0!</v>
      </c>
      <c r="H29" s="50"/>
      <c r="I29" s="82"/>
      <c r="J29" s="51"/>
      <c r="K29" s="51"/>
      <c r="L29" s="51"/>
      <c r="M29" s="51"/>
    </row>
    <row r="30" spans="1:13" ht="15" customHeight="1">
      <c r="A30" s="70" t="s">
        <v>95</v>
      </c>
      <c r="B30" s="85" t="e">
        <f>B26*B19/B13</f>
        <v>#DIV/0!</v>
      </c>
      <c r="C30" s="86" t="e">
        <f>B30/D30</f>
        <v>#DIV/0!</v>
      </c>
      <c r="D30" s="61"/>
      <c r="E30" s="46"/>
      <c r="F30" s="70" t="s">
        <v>96</v>
      </c>
      <c r="G30" s="85" t="e">
        <f>B26*G19/B13</f>
        <v>#DIV/0!</v>
      </c>
      <c r="H30" s="86" t="e">
        <f>G30/I30</f>
        <v>#DIV/0!</v>
      </c>
      <c r="I30" s="61"/>
      <c r="J30" s="46"/>
      <c r="K30" s="51"/>
      <c r="L30" s="51"/>
      <c r="M30" s="51"/>
    </row>
    <row r="33" spans="1:9" ht="15" customHeight="1">
      <c r="A33" s="93" t="s">
        <v>64</v>
      </c>
      <c r="B33" s="94">
        <f>IF(B13=0,D15,0)</f>
        <v>0</v>
      </c>
      <c r="C33" s="93" t="s">
        <v>97</v>
      </c>
      <c r="D33" s="94">
        <f>IF(B33=0,0,1)</f>
        <v>0</v>
      </c>
      <c r="F33" s="47" t="s">
        <v>34</v>
      </c>
      <c r="G33" s="48" t="s">
        <v>24</v>
      </c>
      <c r="H33" s="48" t="s">
        <v>14</v>
      </c>
      <c r="I33" s="57" t="s">
        <v>9</v>
      </c>
    </row>
    <row r="34" spans="1:9" ht="15" customHeight="1">
      <c r="A34" s="93" t="s">
        <v>66</v>
      </c>
      <c r="B34" s="94">
        <f>IF(G13=0,I15,0)</f>
        <v>0</v>
      </c>
      <c r="C34" s="93" t="s">
        <v>98</v>
      </c>
      <c r="D34" s="94">
        <f>IF(B34=0,0,1)</f>
        <v>0</v>
      </c>
      <c r="F34" s="87" t="s">
        <v>55</v>
      </c>
      <c r="G34" s="46" t="s">
        <v>18</v>
      </c>
      <c r="H34" s="46" t="s">
        <v>79</v>
      </c>
      <c r="I34" s="59" t="s">
        <v>18</v>
      </c>
    </row>
    <row r="35" spans="1:9" ht="15" customHeight="1">
      <c r="A35" s="93" t="s">
        <v>65</v>
      </c>
      <c r="B35" s="94">
        <f>IF(B19=0,D21,0)</f>
        <v>0</v>
      </c>
      <c r="C35" s="93" t="s">
        <v>99</v>
      </c>
      <c r="D35" s="94">
        <f>IF(B35=0,0,1)</f>
        <v>0</v>
      </c>
      <c r="F35" s="53"/>
      <c r="G35" s="46"/>
      <c r="H35" s="46"/>
      <c r="I35" s="59"/>
    </row>
    <row r="36" spans="1:9" ht="15" customHeight="1">
      <c r="A36" s="93" t="s">
        <v>67</v>
      </c>
      <c r="B36" s="94">
        <f>IF(G19=0,I21,0)</f>
        <v>0</v>
      </c>
      <c r="C36" s="93" t="s">
        <v>100</v>
      </c>
      <c r="D36" s="94">
        <f>IF(B36=0,0,1)</f>
        <v>0</v>
      </c>
      <c r="F36" s="88" t="s">
        <v>39</v>
      </c>
      <c r="G36" s="46"/>
      <c r="H36" s="64">
        <f>I36*(1+2/B1)</f>
        <v>0</v>
      </c>
      <c r="I36" s="61"/>
    </row>
    <row r="37" spans="1:9" ht="15" customHeight="1">
      <c r="A37" s="93" t="s">
        <v>36</v>
      </c>
      <c r="B37" s="94" t="e">
        <f>SUM(D33:D36)/SUM(B33:B36)</f>
        <v>#DIV/0!</v>
      </c>
      <c r="C37" s="93" t="s">
        <v>37</v>
      </c>
      <c r="D37" s="94" t="e">
        <f>1/SUM(B33:B36)</f>
        <v>#DIV/0!</v>
      </c>
      <c r="F37" s="89" t="s">
        <v>101</v>
      </c>
      <c r="G37" s="90" t="e">
        <f>-B1*B37/2+SQRT(B1*B1*B37*B37/4+B1*D37*(H36-L9-L15))</f>
        <v>#DIV/0!</v>
      </c>
      <c r="H37" s="71"/>
      <c r="I37" s="91"/>
    </row>
    <row r="38" spans="6:7" ht="15" customHeight="1">
      <c r="F38" s="92"/>
      <c r="G38" s="56"/>
    </row>
    <row r="39" spans="6:7" ht="15" customHeight="1">
      <c r="F39" s="92"/>
      <c r="G39" s="56"/>
    </row>
  </sheetData>
  <sheetProtection password="CC90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90" zoomScaleNormal="90" zoomScalePageLayoutView="0" workbookViewId="0" topLeftCell="A1">
      <selection activeCell="D20" sqref="D20"/>
    </sheetView>
  </sheetViews>
  <sheetFormatPr defaultColWidth="11.57421875" defaultRowHeight="15" customHeight="1"/>
  <cols>
    <col min="1" max="1" width="20.7109375" style="52" customWidth="1"/>
    <col min="2" max="4" width="7.28125" style="52" customWidth="1"/>
    <col min="5" max="5" width="8.7109375" style="52" customWidth="1"/>
    <col min="6" max="6" width="20.7109375" style="52" customWidth="1"/>
    <col min="7" max="9" width="7.28125" style="52" customWidth="1"/>
    <col min="10" max="10" width="8.7109375" style="52" customWidth="1"/>
    <col min="11" max="11" width="12.7109375" style="52" customWidth="1"/>
    <col min="12" max="12" width="7.28125" style="52" customWidth="1"/>
    <col min="13" max="13" width="8.28125" style="52" customWidth="1"/>
    <col min="14" max="16384" width="11.421875" style="52" customWidth="1"/>
  </cols>
  <sheetData>
    <row r="1" spans="1:13" ht="15" customHeight="1">
      <c r="A1" s="110" t="s">
        <v>76</v>
      </c>
      <c r="B1" s="49">
        <v>3</v>
      </c>
      <c r="C1" s="46"/>
      <c r="D1" s="46"/>
      <c r="E1" s="46"/>
      <c r="F1" s="52" t="s">
        <v>6</v>
      </c>
      <c r="H1" s="51"/>
      <c r="I1" s="46"/>
      <c r="J1" s="46"/>
      <c r="L1" s="51"/>
      <c r="M1" s="46"/>
    </row>
    <row r="2" spans="1:13" ht="15" customHeight="1">
      <c r="A2" s="111" t="s">
        <v>77</v>
      </c>
      <c r="B2" s="49">
        <v>1.5</v>
      </c>
      <c r="C2" s="46"/>
      <c r="D2" s="46"/>
      <c r="E2" s="46"/>
      <c r="F2" s="50"/>
      <c r="H2" s="51"/>
      <c r="I2" s="46"/>
      <c r="J2" s="46"/>
      <c r="K2" s="54"/>
      <c r="L2" s="51"/>
      <c r="M2" s="46"/>
    </row>
    <row r="3" spans="1:13" ht="15" customHeight="1">
      <c r="A3" s="112" t="s">
        <v>78</v>
      </c>
      <c r="B3" s="55">
        <f>LN(2)/B2</f>
        <v>0.46209812037329684</v>
      </c>
      <c r="C3" s="46"/>
      <c r="D3" s="46"/>
      <c r="E3" s="46"/>
      <c r="H3" s="46"/>
      <c r="I3" s="51"/>
      <c r="J3" s="51"/>
      <c r="K3" s="56"/>
      <c r="L3" s="46"/>
      <c r="M3" s="51"/>
    </row>
    <row r="4" spans="1:13" ht="15" customHeight="1">
      <c r="A4" s="97"/>
      <c r="B4" s="98"/>
      <c r="C4" s="51"/>
      <c r="D4" s="51"/>
      <c r="E4" s="51"/>
      <c r="F4" s="56"/>
      <c r="G4" s="56"/>
      <c r="H4" s="46"/>
      <c r="I4" s="51"/>
      <c r="J4" s="51"/>
      <c r="K4" s="56"/>
      <c r="L4" s="46"/>
      <c r="M4" s="51"/>
    </row>
    <row r="5" spans="1:13" ht="15" customHeight="1">
      <c r="A5" s="47" t="s">
        <v>13</v>
      </c>
      <c r="B5" s="48"/>
      <c r="C5" s="48" t="s">
        <v>14</v>
      </c>
      <c r="D5" s="57" t="s">
        <v>9</v>
      </c>
      <c r="E5" s="51"/>
      <c r="F5" s="47" t="s">
        <v>15</v>
      </c>
      <c r="G5" s="48"/>
      <c r="H5" s="48" t="s">
        <v>14</v>
      </c>
      <c r="I5" s="57" t="s">
        <v>9</v>
      </c>
      <c r="J5" s="51"/>
      <c r="K5" s="47" t="s">
        <v>16</v>
      </c>
      <c r="L5" s="48"/>
      <c r="M5" s="57"/>
    </row>
    <row r="6" spans="1:13" ht="15" customHeight="1">
      <c r="A6" s="58"/>
      <c r="B6" s="46"/>
      <c r="C6" s="46" t="s">
        <v>79</v>
      </c>
      <c r="D6" s="59" t="s">
        <v>18</v>
      </c>
      <c r="E6" s="51"/>
      <c r="F6" s="58"/>
      <c r="G6" s="46"/>
      <c r="H6" s="46" t="s">
        <v>79</v>
      </c>
      <c r="I6" s="59" t="s">
        <v>18</v>
      </c>
      <c r="J6" s="51"/>
      <c r="K6" s="53"/>
      <c r="L6" s="46"/>
      <c r="M6" s="59"/>
    </row>
    <row r="7" spans="1:13" ht="15" customHeight="1">
      <c r="A7" s="60" t="s">
        <v>19</v>
      </c>
      <c r="B7" s="61">
        <v>28</v>
      </c>
      <c r="C7" s="46"/>
      <c r="D7" s="59"/>
      <c r="E7" s="51"/>
      <c r="F7" s="60" t="s">
        <v>19</v>
      </c>
      <c r="G7" s="61"/>
      <c r="H7" s="46"/>
      <c r="I7" s="59"/>
      <c r="J7" s="51"/>
      <c r="K7" s="53"/>
      <c r="L7" s="46" t="s">
        <v>14</v>
      </c>
      <c r="M7" s="59" t="s">
        <v>9</v>
      </c>
    </row>
    <row r="8" spans="1:13" ht="15" customHeight="1">
      <c r="A8" s="60" t="s">
        <v>20</v>
      </c>
      <c r="B8" s="61">
        <v>1.8</v>
      </c>
      <c r="C8" s="64">
        <f>B8*(1+B8/B1)</f>
        <v>2.8800000000000003</v>
      </c>
      <c r="D8" s="63">
        <f>C8/(1+2/B1)</f>
        <v>1.7280000000000004</v>
      </c>
      <c r="E8" s="46"/>
      <c r="F8" s="60" t="s">
        <v>20</v>
      </c>
      <c r="G8" s="61"/>
      <c r="H8" s="64">
        <f>G8*(1+G8/B1)</f>
        <v>0</v>
      </c>
      <c r="I8" s="63">
        <f>H8/(1+2/B1)</f>
        <v>0</v>
      </c>
      <c r="J8" s="46"/>
      <c r="K8" s="58"/>
      <c r="L8" s="46" t="s">
        <v>79</v>
      </c>
      <c r="M8" s="59" t="s">
        <v>18</v>
      </c>
    </row>
    <row r="9" spans="1:13" ht="15" customHeight="1">
      <c r="A9" s="65" t="s">
        <v>21</v>
      </c>
      <c r="B9" s="66">
        <f>B7*B8</f>
        <v>50.4</v>
      </c>
      <c r="C9" s="66">
        <f>B7*C8</f>
        <v>80.64000000000001</v>
      </c>
      <c r="D9" s="67">
        <f>B7*D8</f>
        <v>48.384000000000015</v>
      </c>
      <c r="E9" s="46"/>
      <c r="F9" s="65" t="s">
        <v>21</v>
      </c>
      <c r="G9" s="66">
        <f>G7*G8</f>
        <v>0</v>
      </c>
      <c r="H9" s="66">
        <f>G7*H8</f>
        <v>0</v>
      </c>
      <c r="I9" s="67">
        <f>G7*I8</f>
        <v>0</v>
      </c>
      <c r="J9" s="46"/>
      <c r="K9" s="65" t="s">
        <v>22</v>
      </c>
      <c r="L9" s="66">
        <f>C9+H9</f>
        <v>80.64000000000001</v>
      </c>
      <c r="M9" s="67">
        <f>D9+I9</f>
        <v>48.384000000000015</v>
      </c>
    </row>
    <row r="10" spans="1:13" ht="15" customHeight="1">
      <c r="A10" s="46"/>
      <c r="B10" s="46"/>
      <c r="C10" s="46"/>
      <c r="D10" s="46"/>
      <c r="E10" s="51"/>
      <c r="F10" s="51"/>
      <c r="G10" s="51"/>
      <c r="H10" s="51"/>
      <c r="I10" s="51"/>
      <c r="J10" s="51"/>
      <c r="K10" s="46"/>
      <c r="L10" s="46"/>
      <c r="M10" s="46"/>
    </row>
    <row r="11" spans="1:13" ht="15" customHeight="1">
      <c r="A11" s="47" t="s">
        <v>57</v>
      </c>
      <c r="B11" s="48"/>
      <c r="C11" s="48" t="s">
        <v>14</v>
      </c>
      <c r="D11" s="57" t="s">
        <v>9</v>
      </c>
      <c r="E11" s="51"/>
      <c r="F11" s="47" t="s">
        <v>58</v>
      </c>
      <c r="G11" s="48"/>
      <c r="H11" s="48" t="s">
        <v>14</v>
      </c>
      <c r="I11" s="57" t="s">
        <v>9</v>
      </c>
      <c r="J11" s="51"/>
      <c r="K11" s="51"/>
      <c r="L11" s="51"/>
      <c r="M11" s="51"/>
    </row>
    <row r="12" spans="1:13" ht="15" customHeight="1">
      <c r="A12" s="43" t="s">
        <v>68</v>
      </c>
      <c r="B12" s="37">
        <f>B15-B16</f>
        <v>0.9</v>
      </c>
      <c r="C12" s="46" t="s">
        <v>79</v>
      </c>
      <c r="D12" s="59" t="s">
        <v>18</v>
      </c>
      <c r="E12" s="51"/>
      <c r="F12" s="43" t="s">
        <v>72</v>
      </c>
      <c r="G12" s="37">
        <f>G15-G16</f>
        <v>0</v>
      </c>
      <c r="H12" s="46" t="s">
        <v>79</v>
      </c>
      <c r="I12" s="59" t="s">
        <v>18</v>
      </c>
      <c r="J12" s="51"/>
      <c r="K12" s="51"/>
      <c r="L12" s="51"/>
      <c r="M12" s="51"/>
    </row>
    <row r="13" spans="1:13" ht="15" customHeight="1">
      <c r="A13" s="60" t="s">
        <v>80</v>
      </c>
      <c r="B13" s="61">
        <v>0.6</v>
      </c>
      <c r="C13" s="37" t="s">
        <v>69</v>
      </c>
      <c r="D13" s="39">
        <f>1-EXP(-B3*B16)</f>
        <v>0.0451583960895835</v>
      </c>
      <c r="E13" s="51"/>
      <c r="F13" s="60" t="s">
        <v>81</v>
      </c>
      <c r="G13" s="61"/>
      <c r="H13" s="37" t="s">
        <v>73</v>
      </c>
      <c r="I13" s="39">
        <f>1-EXP(-B3*G16)</f>
        <v>0</v>
      </c>
      <c r="J13" s="51"/>
      <c r="K13" s="47" t="s">
        <v>59</v>
      </c>
      <c r="L13" s="48"/>
      <c r="M13" s="57"/>
    </row>
    <row r="14" spans="1:13" ht="15" customHeight="1">
      <c r="A14" s="60" t="s">
        <v>102</v>
      </c>
      <c r="B14" s="61">
        <v>33</v>
      </c>
      <c r="C14" s="37" t="s">
        <v>70</v>
      </c>
      <c r="D14" s="39">
        <f>EXP(-B3*B12)</f>
        <v>0.6597539553864471</v>
      </c>
      <c r="E14" s="51"/>
      <c r="F14" s="60" t="s">
        <v>103</v>
      </c>
      <c r="G14" s="61"/>
      <c r="H14" s="37" t="s">
        <v>74</v>
      </c>
      <c r="I14" s="39">
        <f>EXP(-B3*G12)</f>
        <v>1</v>
      </c>
      <c r="J14" s="51"/>
      <c r="K14" s="53"/>
      <c r="L14" s="46"/>
      <c r="M14" s="59"/>
    </row>
    <row r="15" spans="1:13" ht="15" customHeight="1">
      <c r="A15" s="60" t="s">
        <v>60</v>
      </c>
      <c r="B15" s="61">
        <v>1</v>
      </c>
      <c r="C15" s="37" t="s">
        <v>71</v>
      </c>
      <c r="D15" s="39">
        <f>(B14*D14-D14-B14*D14*D14*EXP(-B3*B16)+POWER(D14,B14+1)*EXP(-B3*B14*B16))/(POWER(1-D14*EXP(-B3*B16),2))</f>
        <v>54.01843241484615</v>
      </c>
      <c r="E15" s="51"/>
      <c r="F15" s="60" t="s">
        <v>60</v>
      </c>
      <c r="G15" s="61"/>
      <c r="H15" s="37" t="s">
        <v>75</v>
      </c>
      <c r="I15" s="39" t="e">
        <f>(G14*I14-I14-G14*I14*I14*EXP(-B3*G16)+POWER(I14,G14+1)*EXP(-B3*G14*G16))/(POWER(1-I14*EXP(-B3*G16),2))</f>
        <v>#DIV/0!</v>
      </c>
      <c r="J15" s="51"/>
      <c r="K15" s="53"/>
      <c r="L15" s="46" t="s">
        <v>14</v>
      </c>
      <c r="M15" s="59" t="s">
        <v>9</v>
      </c>
    </row>
    <row r="16" spans="1:13" ht="15" customHeight="1">
      <c r="A16" s="60" t="s">
        <v>104</v>
      </c>
      <c r="B16" s="61">
        <v>0.1</v>
      </c>
      <c r="C16" s="37" t="s">
        <v>64</v>
      </c>
      <c r="D16" s="39">
        <f>IF(B14=0,0,2/B3/B16*(1-(B14*D13-D15*D13*D13)/(B14*B3*B16)))</f>
        <v>4.1113321679533685</v>
      </c>
      <c r="E16" s="51"/>
      <c r="F16" s="60" t="s">
        <v>105</v>
      </c>
      <c r="G16" s="61"/>
      <c r="H16" s="37" t="s">
        <v>66</v>
      </c>
      <c r="I16" s="39">
        <f>IF(G14=0,0,2/B3/G16*(1-(G14*I13-I15*I13*I13)/(G14*B3*G16)))</f>
        <v>0</v>
      </c>
      <c r="J16" s="51"/>
      <c r="K16" s="58"/>
      <c r="L16" s="46" t="s">
        <v>79</v>
      </c>
      <c r="M16" s="59" t="s">
        <v>18</v>
      </c>
    </row>
    <row r="17" spans="1:13" ht="15" customHeight="1">
      <c r="A17" s="70" t="s">
        <v>106</v>
      </c>
      <c r="B17" s="66">
        <f>B13*B14</f>
        <v>19.8</v>
      </c>
      <c r="C17" s="66">
        <f>B14*B13*(1+D16*B13/B1)</f>
        <v>36.08087538509534</v>
      </c>
      <c r="D17" s="67">
        <f>C17/(1+2/B1)</f>
        <v>21.648525231057206</v>
      </c>
      <c r="E17" s="51"/>
      <c r="F17" s="70" t="s">
        <v>0</v>
      </c>
      <c r="G17" s="66">
        <f>G13*G14</f>
        <v>0</v>
      </c>
      <c r="H17" s="83">
        <f>G14*G13*(1+I16*G13/B1)</f>
        <v>0</v>
      </c>
      <c r="I17" s="67">
        <f>H17/(1+2/B1)</f>
        <v>0</v>
      </c>
      <c r="J17" s="51"/>
      <c r="K17" s="65" t="s">
        <v>61</v>
      </c>
      <c r="L17" s="66">
        <f>C17+H17</f>
        <v>36.08087538509534</v>
      </c>
      <c r="M17" s="67">
        <f>D17+I17</f>
        <v>21.648525231057206</v>
      </c>
    </row>
    <row r="18" spans="1:13" ht="15" customHeight="1">
      <c r="A18" s="51"/>
      <c r="B18" s="51"/>
      <c r="C18" s="51"/>
      <c r="D18" s="51"/>
      <c r="E18" s="46"/>
      <c r="J18" s="51"/>
      <c r="K18" s="56"/>
      <c r="L18" s="56"/>
      <c r="M18" s="56"/>
    </row>
    <row r="19" spans="1:13" ht="15" customHeight="1">
      <c r="A19" s="93" t="s">
        <v>64</v>
      </c>
      <c r="B19" s="94">
        <f>IF(B13=0,D16,0)</f>
        <v>0</v>
      </c>
      <c r="C19" s="93" t="s">
        <v>97</v>
      </c>
      <c r="D19" s="94">
        <f>IF(B19=0,0,B14)</f>
        <v>0</v>
      </c>
      <c r="E19" s="46"/>
      <c r="F19" s="47" t="s">
        <v>34</v>
      </c>
      <c r="G19" s="48" t="s">
        <v>24</v>
      </c>
      <c r="H19" s="48" t="s">
        <v>14</v>
      </c>
      <c r="I19" s="57" t="s">
        <v>9</v>
      </c>
      <c r="J19" s="46"/>
      <c r="K19" s="47" t="s">
        <v>62</v>
      </c>
      <c r="L19" s="72"/>
      <c r="M19" s="74"/>
    </row>
    <row r="20" spans="1:13" ht="15" customHeight="1">
      <c r="A20" s="93" t="s">
        <v>66</v>
      </c>
      <c r="B20" s="94">
        <f>IF(G13=0,I16,0)</f>
        <v>0</v>
      </c>
      <c r="C20" s="93" t="s">
        <v>98</v>
      </c>
      <c r="D20" s="94">
        <f>IF(B20=0,0,G14)</f>
        <v>0</v>
      </c>
      <c r="E20" s="51"/>
      <c r="F20" s="87" t="s">
        <v>63</v>
      </c>
      <c r="G20" s="46" t="s">
        <v>18</v>
      </c>
      <c r="H20" s="46" t="s">
        <v>79</v>
      </c>
      <c r="I20" s="59" t="s">
        <v>18</v>
      </c>
      <c r="J20" s="51"/>
      <c r="K20" s="53"/>
      <c r="L20" s="76"/>
      <c r="M20" s="99"/>
    </row>
    <row r="21" spans="1:13" ht="15" customHeight="1">
      <c r="A21" s="93" t="s">
        <v>36</v>
      </c>
      <c r="B21" s="94" t="e">
        <f>SUM(D19:D20)/SUM(D19*B19,D20*B20)</f>
        <v>#DIV/0!</v>
      </c>
      <c r="C21" s="93" t="s">
        <v>37</v>
      </c>
      <c r="D21" s="94" t="e">
        <f>1/SUM(D19*B19,D20*B20)</f>
        <v>#DIV/0!</v>
      </c>
      <c r="E21" s="51"/>
      <c r="F21" s="53"/>
      <c r="G21" s="46"/>
      <c r="H21" s="46"/>
      <c r="I21" s="59"/>
      <c r="J21" s="51"/>
      <c r="K21" s="53"/>
      <c r="L21" s="46" t="s">
        <v>14</v>
      </c>
      <c r="M21" s="59" t="s">
        <v>9</v>
      </c>
    </row>
    <row r="22" spans="1:13" ht="15" customHeight="1">
      <c r="A22" s="95"/>
      <c r="B22" s="96"/>
      <c r="C22" s="95"/>
      <c r="D22" s="96"/>
      <c r="E22" s="51"/>
      <c r="F22" s="88" t="s">
        <v>39</v>
      </c>
      <c r="G22" s="46"/>
      <c r="H22" s="64">
        <f>I22*(1+2/B1)</f>
        <v>116.66666666666666</v>
      </c>
      <c r="I22" s="61">
        <v>70</v>
      </c>
      <c r="J22" s="51"/>
      <c r="K22" s="58"/>
      <c r="L22" s="46" t="s">
        <v>79</v>
      </c>
      <c r="M22" s="59" t="s">
        <v>18</v>
      </c>
    </row>
    <row r="23" spans="5:13" ht="15" customHeight="1">
      <c r="E23" s="51"/>
      <c r="F23" s="89" t="s">
        <v>5</v>
      </c>
      <c r="G23" s="107" t="e">
        <f>-B1*B21/2+SQRT(B1*B1*B21*B21/4+B1*D21*(H22-L9-L17))</f>
        <v>#DIV/0!</v>
      </c>
      <c r="H23" s="108"/>
      <c r="I23" s="109"/>
      <c r="J23" s="51"/>
      <c r="K23" s="65" t="s">
        <v>63</v>
      </c>
      <c r="L23" s="66">
        <f>L9+L17</f>
        <v>116.72087538509535</v>
      </c>
      <c r="M23" s="67">
        <f>M9+M17</f>
        <v>70.03252523105722</v>
      </c>
    </row>
    <row r="24" spans="1:13" ht="15" customHeight="1">
      <c r="A24" s="51"/>
      <c r="B24" s="51"/>
      <c r="C24" s="51"/>
      <c r="D24" s="51"/>
      <c r="E24" s="46"/>
      <c r="J24" s="51"/>
      <c r="K24" s="51"/>
      <c r="L24" s="51"/>
      <c r="M24" s="51"/>
    </row>
    <row r="25" spans="3:13" ht="15" customHeight="1">
      <c r="C25" s="46"/>
      <c r="D25" s="46"/>
      <c r="E25" s="46"/>
      <c r="J25" s="46"/>
      <c r="K25" s="46"/>
      <c r="L25" s="46"/>
      <c r="M25" s="46"/>
    </row>
    <row r="26" spans="1:13" ht="15" customHeight="1">
      <c r="A26" s="47" t="s">
        <v>57</v>
      </c>
      <c r="B26" s="48"/>
      <c r="C26" s="48"/>
      <c r="D26" s="57"/>
      <c r="E26" s="46"/>
      <c r="F26" s="47" t="s">
        <v>58</v>
      </c>
      <c r="G26" s="100"/>
      <c r="H26" s="100"/>
      <c r="I26" s="101"/>
      <c r="J26" s="46"/>
      <c r="K26" s="47" t="s">
        <v>11</v>
      </c>
      <c r="L26" s="79">
        <v>60</v>
      </c>
      <c r="M26" s="80" t="s">
        <v>56</v>
      </c>
    </row>
    <row r="27" spans="1:13" ht="15" customHeight="1">
      <c r="A27" s="88" t="s">
        <v>1</v>
      </c>
      <c r="B27" s="81">
        <f>-L28/2*B1+SQRT(L28*L28/4*B1*B1+L29*B1*(L27-L9))</f>
        <v>0.3842856788338719</v>
      </c>
      <c r="C27" s="102" t="e">
        <f>B27/D27</f>
        <v>#DIV/0!</v>
      </c>
      <c r="D27" s="61"/>
      <c r="E27" s="51"/>
      <c r="F27" s="88" t="s">
        <v>2</v>
      </c>
      <c r="G27" s="81">
        <f>B27*G13/B13</f>
        <v>0</v>
      </c>
      <c r="H27" s="102" t="e">
        <f>G27/I27</f>
        <v>#DIV/0!</v>
      </c>
      <c r="I27" s="61"/>
      <c r="J27" s="46"/>
      <c r="K27" s="70" t="s">
        <v>90</v>
      </c>
      <c r="L27" s="83">
        <f>L26*(1+2/B1)</f>
        <v>99.99999999999999</v>
      </c>
      <c r="M27" s="103"/>
    </row>
    <row r="28" spans="1:13" ht="15" customHeight="1">
      <c r="A28" s="104" t="s">
        <v>3</v>
      </c>
      <c r="B28" s="85">
        <f>B27*B14</f>
        <v>12.681427401517771</v>
      </c>
      <c r="C28" s="105"/>
      <c r="D28" s="106"/>
      <c r="E28" s="51"/>
      <c r="F28" s="104" t="s">
        <v>4</v>
      </c>
      <c r="G28" s="85">
        <f>G27*G14</f>
        <v>0</v>
      </c>
      <c r="H28" s="105"/>
      <c r="I28" s="106"/>
      <c r="J28" s="51"/>
      <c r="K28" s="38" t="s">
        <v>36</v>
      </c>
      <c r="L28" s="37">
        <f>(B14+G14*G13/B13)/(B14*D16+G14*I16*G13*G13/B13/B13)</f>
        <v>0.24323016461542743</v>
      </c>
      <c r="M28" s="51"/>
    </row>
    <row r="29" spans="1:13" ht="15" customHeight="1">
      <c r="A29" s="51"/>
      <c r="B29" s="51"/>
      <c r="C29" s="51"/>
      <c r="D29" s="51"/>
      <c r="E29" s="54"/>
      <c r="F29" s="54"/>
      <c r="G29" s="54"/>
      <c r="H29" s="54"/>
      <c r="I29" s="54"/>
      <c r="J29" s="51"/>
      <c r="K29" s="38" t="s">
        <v>37</v>
      </c>
      <c r="L29" s="37">
        <f>1/(B14*D16+G14*I16*G13*G13/B13/B13)</f>
        <v>0.0073706110489523465</v>
      </c>
      <c r="M29" s="51"/>
    </row>
  </sheetData>
  <sheetProtection password="CCA8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EDV Management Betriebsführungszentrum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AKHSTRLAN</dc:creator>
  <cp:keywords/>
  <dc:description/>
  <cp:lastModifiedBy>Daniel Berger</cp:lastModifiedBy>
  <cp:lastPrinted>2004-08-22T22:02:00Z</cp:lastPrinted>
  <dcterms:created xsi:type="dcterms:W3CDTF">2003-06-23T12:49:15Z</dcterms:created>
  <dcterms:modified xsi:type="dcterms:W3CDTF">2011-09-10T06:50:00Z</dcterms:modified>
  <cp:category/>
  <cp:version/>
  <cp:contentType/>
  <cp:contentStatus/>
</cp:coreProperties>
</file>